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IS\Downloads\"/>
    </mc:Choice>
  </mc:AlternateContent>
  <xr:revisionPtr revIDLastSave="0" documentId="13_ncr:1_{9AF5C73E-6F7D-49E5-9183-EF649D64C7AB}" xr6:coauthVersionLast="47" xr6:coauthVersionMax="47" xr10:uidLastSave="{00000000-0000-0000-0000-000000000000}"/>
  <bookViews>
    <workbookView xWindow="-110" yWindow="-110" windowWidth="19420" windowHeight="11500" activeTab="3" xr2:uid="{00000000-000D-0000-FFFF-FFFF00000000}"/>
  </bookViews>
  <sheets>
    <sheet name="Formato" sheetId="1" r:id="rId1"/>
    <sheet name="Tabla Presupuesto Personal" sheetId="3" r:id="rId2"/>
    <sheet name="Tablas Presupuesto Detallado" sheetId="4" r:id="rId3"/>
    <sheet name="Presupuesto global" sheetId="5" r:id="rId4"/>
    <sheet name="Control de cambios" sheetId="6" state="hidden" r:id="rId5"/>
    <sheet name="Listas" sheetId="2" state="hidden" r:id="rId6"/>
  </sheets>
  <externalReferences>
    <externalReference r:id="rId7"/>
  </externalReferences>
  <definedNames>
    <definedName name="año">Listas!$A$72:$A$73</definedName>
    <definedName name="Año_acarre">'Tablas Presupuesto Detallado'!$F$130:$F$130</definedName>
    <definedName name="año_actual">Listas!$A$76</definedName>
    <definedName name="Año_adec">'Tablas Presupuesto Detallado'!$F$125:$F$125</definedName>
    <definedName name="Año_arrend">'Tablas Presupuesto Detallado'!$F$126:$F$126</definedName>
    <definedName name="Año_aud">'Tablas Presupuesto Detallado'!$F$118:$F$118</definedName>
    <definedName name="Año_avisos">'Tablas Presupuesto Detallado'!$F$131:$F$131</definedName>
    <definedName name="Año_capac">'Tablas Presupuesto Detallado'!$F$128:$F$128</definedName>
    <definedName name="Año_cómp">'Tablas Presupuesto Detallado'!$F$120:$F$120</definedName>
    <definedName name="Año_elelab">'Tablas Presupuesto Detallado'!$F$122:$F$122</definedName>
    <definedName name="Año_equipos">'Tablas Presupuesto Detallado'!$F$32:$F$36</definedName>
    <definedName name="Año_gasimpo">'Tablas Presupuesto Detallado'!$F$132:$F$132</definedName>
    <definedName name="Año_herra">'Tablas Presupuesto Detallado'!$F$123:$F$123</definedName>
    <definedName name="Año_libros">'Tablas Presupuesto Detallado'!$F$107:$F$111</definedName>
    <definedName name="Año_licencias">'Tablas Presupuesto Detallado'!$F$85:$F$89</definedName>
    <definedName name="Año_mont">'Tablas Presupuesto Detallado'!$F$124:$F$124</definedName>
    <definedName name="Año_mue">'Tablas Presupuesto Detallado'!$F$121:$F$121</definedName>
    <definedName name="Año_ofi">'Tablas Presupuesto Detallado'!$F$119:$F$119</definedName>
    <definedName name="Año_otgadm">'Tablas Presupuesto Detallado'!$F$133:$F$133</definedName>
    <definedName name="Año_otros">'Tablas Presupuesto Detallado'!$F$118:$F$133</definedName>
    <definedName name="Año_otrosrubros">'Tablas Presupuesto Detallado'!$F$118:$F$133</definedName>
    <definedName name="Año_papelería">'Tablas Presupuesto Detallado'!$F$96:$F$100</definedName>
    <definedName name="Año_personal">'Tabla Presupuesto Personal'!$M$7:$M$29</definedName>
    <definedName name="Año_portes">'Tablas Presupuesto Detallado'!$F$129:$F$129</definedName>
    <definedName name="Año_prácticas">'Tablas Presupuesto Detallado'!$F$43:$F$49</definedName>
    <definedName name="Año_reactivos">'Tablas Presupuesto Detallado'!$F$67:$F$78</definedName>
    <definedName name="Año_reparar">'Tablas Presupuesto Detallado'!$F$56:$F$60</definedName>
    <definedName name="Año_segur">'Tablas Presupuesto Detallado'!$F$127:$F$127</definedName>
    <definedName name="año_siguiente">Listas!$A$79</definedName>
    <definedName name="Año_ST">'Tablas Presupuesto Detallado'!$F$8:$F$12</definedName>
    <definedName name="año_subsiguiente">Listas!$A$82</definedName>
    <definedName name="Año_viajes">'Tablas Presupuesto Detallado'!$F$19:$F$25</definedName>
    <definedName name="Aproxsml2020">Listas!$A$82</definedName>
    <definedName name="Aproxsml2021">Listas!$A$82</definedName>
    <definedName name="Aproxsml2022">Listas!$A$82</definedName>
    <definedName name="Aproxsml2024">Listas!$A$82</definedName>
    <definedName name="aproxsmlmv2019">Listas!$A$79</definedName>
    <definedName name="aproxsmlmv2020">Listas!$A$79</definedName>
    <definedName name="aproxsmlmv2021">Listas!$A$79</definedName>
    <definedName name="aproxsmlmv2023">Listas!$A$79</definedName>
    <definedName name="_xlnm.Print_Area" localSheetId="0">Formato!$A$1:$J$54</definedName>
    <definedName name="_xlnm.Print_Area" localSheetId="3">'Presupuesto global'!$A$1:$O$50</definedName>
    <definedName name="_xlnm.Print_Area" localSheetId="1">'Tabla Presupuesto Personal'!$A$1:$W$30</definedName>
    <definedName name="_xlnm.Print_Area" localSheetId="2">'Tablas Presupuesto Detallado'!$A$1:$K$134</definedName>
    <definedName name="cantidad">[1]Listas!$C$2:$C$11</definedName>
    <definedName name="CATEGORIA">[1]Listas!$A$45:$A$47</definedName>
    <definedName name="decision">[1]Listas!$A$5:$A$6</definedName>
    <definedName name="ef_viajes">'Tablas Presupuesto Detallado'!$G$19:$G$25</definedName>
    <definedName name="Efe_equipo">'Tablas Presupuesto Detallado'!$G$32:$G$36</definedName>
    <definedName name="efec_libros">'Tablas Presupuesto Detallado'!$G$107:$G$111</definedName>
    <definedName name="efec_licen">'Tablas Presupuesto Detallado'!$G$85:$G$89</definedName>
    <definedName name="efec_papel">'Tablas Presupuesto Detallado'!$G$96:$G$100</definedName>
    <definedName name="efec_practicas">'Tablas Presupuesto Detallado'!$G$43:$G$49</definedName>
    <definedName name="efec_reacti">'Tablas Presupuesto Detallado'!$G$67:$G$78</definedName>
    <definedName name="efec_reparar">'Tablas Presupuesto Detallado'!$G$56:$G$60</definedName>
    <definedName name="Efec_STOTRA">'Tablas Presupuesto Detallado'!$J$8:$J$12</definedName>
    <definedName name="efec_STUIS">'Tablas Presupuesto Detallado'!$G$8:$G$12</definedName>
    <definedName name="efectivo_uis">'Tabla Presupuesto Personal'!$T$7:$T$29</definedName>
    <definedName name="Entidad_finan">'Tabla Presupuesto Personal'!$J$7:$J$29</definedName>
    <definedName name="esp_libr">'Tablas Presupuesto Detallado'!$H$107:$H$111</definedName>
    <definedName name="esp_licenc">'Tablas Presupuesto Detallado'!$H$85:$H$89</definedName>
    <definedName name="esp_pract">'Tablas Presupuesto Detallado'!$H$43:$H$49</definedName>
    <definedName name="esp_react">'Tablas Presupuesto Detallado'!$H$67:$H$78</definedName>
    <definedName name="esp_reparar">'Tablas Presupuesto Detallado'!$H$56:$H$60</definedName>
    <definedName name="Esp_STOTRA">'Tablas Presupuesto Detallado'!$I$8:$I$12</definedName>
    <definedName name="Esp_STUIS">'Tablas Presupuesto Detallado'!$H$8:$H$12</definedName>
    <definedName name="esp_viajes">'Tablas Presupuesto Detallado'!$H$19:$H$25</definedName>
    <definedName name="espe_papel">'Tablas Presupuesto Detallado'!$H$96:$H$100</definedName>
    <definedName name="espec_equi">'Tablas Presupuesto Detallado'!$H$32:$H$36</definedName>
    <definedName name="especie_uis">'Tabla Presupuesto Personal'!$U$7:$U$29</definedName>
    <definedName name="grupos_UIS">Listas!#REF!</definedName>
    <definedName name="listaotrosrubros">Listas!$A$93:$A$108</definedName>
    <definedName name="ot_efe_via">'Tablas Presupuesto Detallado'!$J$19:$J$25</definedName>
    <definedName name="ot_efec_lice">'Tablas Presupuesto Detallado'!$J$85:$J$89</definedName>
    <definedName name="ot_efec_pape">'Tablas Presupuesto Detallado'!$J$96:$J$100</definedName>
    <definedName name="ot_es_lice">'Tablas Presupuesto Detallado'!$I$85:$I$89</definedName>
    <definedName name="ot_es_prac">'Tablas Presupuesto Detallado'!$I$43:$I$49</definedName>
    <definedName name="ot_es_viaj">'Tablas Presupuesto Detallado'!$I$19:$I$25</definedName>
    <definedName name="ot_esp_papel">'Tablas Presupuesto Detallado'!$I$96:$I$100</definedName>
    <definedName name="otr_efe_equ">'Tablas Presupuesto Detallado'!$J$32:$J$36</definedName>
    <definedName name="otr_efec_libro">'Tablas Presupuesto Detallado'!$J$107:$J$111</definedName>
    <definedName name="otr_efec_otr">'Tablas Presupuesto Detallado'!$J$118:$J$133</definedName>
    <definedName name="otr_efec_prac">'Tablas Presupuesto Detallado'!$J$43:$J$49</definedName>
    <definedName name="otr_efec_repara">'Tablas Presupuesto Detallado'!$J$56:$J$60</definedName>
    <definedName name="otr_es_equ">'Tablas Presupuesto Detallado'!$I$32:$I$36</definedName>
    <definedName name="otr_esp_libro">'Tablas Presupuesto Detallado'!$I$107:$I$111</definedName>
    <definedName name="otr_esp_repa">'Tablas Presupuesto Detallado'!$I$56:$I$60</definedName>
    <definedName name="otra_efec_react">'Tablas Presupuesto Detallado'!$J$67:$J$78</definedName>
    <definedName name="otra_esp_reac">'Tablas Presupuesto Detallado'!$I$67:$I$78</definedName>
    <definedName name="otras_efectivo">'Tabla Presupuesto Personal'!$W$7:$W$29</definedName>
    <definedName name="otras_especie">'Tabla Presupuesto Personal'!$V$7:$V$29</definedName>
    <definedName name="Otro_Es_otro">'Tablas Presupuesto Detallado'!$I$118:$I$133</definedName>
    <definedName name="otro_es_UIS">'Tablas Presupuesto Detallado'!$H$118:$H$133</definedName>
    <definedName name="otrosefec_uis">'Tablas Presupuesto Detallado'!$G$118:$G$133</definedName>
    <definedName name="otrosrubros">'Tablas Presupuesto Detallado'!$B$118:$E$133</definedName>
    <definedName name="otrosrubrosfi">'Tablas Presupuesto Detallado'!$E$118:$E$133</definedName>
    <definedName name="Riesgos_estudiantes">Listas!$A$86:$A$90</definedName>
    <definedName name="rol">[1]Listas!$A$22:$A$31</definedName>
    <definedName name="rubro">'Tabla Presupuesto Personal'!$O$7:$O$29</definedName>
    <definedName name="rubro_compra">'Tablas Presupuesto Detallado'!$E$32:$E$36</definedName>
    <definedName name="rubro_personal">'Tabla Presupuesto Personal'!$O$7:$O$29</definedName>
    <definedName name="rubro_viajes">'Tablas Presupuesto Detallado'!$E$19:$E$25</definedName>
    <definedName name="smlmv_2020">Listas!$A$76</definedName>
    <definedName name="smlmv_2021__estimado">Listas!$A$79</definedName>
    <definedName name="smlmv_2022">Listas!$A$76</definedName>
    <definedName name="smlmv_2022__estimado">Listas!$A$82</definedName>
    <definedName name="smlmv_2023__estimado">Listas!$A$79</definedName>
    <definedName name="smlmv_2024__estimado">Listas!$A$82</definedName>
    <definedName name="smlmv2018">Listas!$A$76</definedName>
    <definedName name="smlmv2019">Listas!$A$76</definedName>
    <definedName name="smlmv2020">Listas!$A$76</definedName>
    <definedName name="smlmv2022">Listas!$A$76</definedName>
    <definedName name="sumar">'[1]Tabla Personal'!$O$4:$O$23</definedName>
    <definedName name="Tarifa1">'Tabla Presupuesto Personal'!$D$35</definedName>
    <definedName name="Tarifa2">'Tabla Presupuesto Personal'!$D$36</definedName>
    <definedName name="Tarifa3">'Tabla Presupuesto Personal'!$D$37</definedName>
    <definedName name="Tarifa4">'Tabla Presupuesto Personal'!$D$38</definedName>
    <definedName name="Tarifa5">'Tabla Presupuesto Personal'!$D$39</definedName>
    <definedName name="TipoFinan">'Tabla Presupuesto Personal'!$K$7:$K$29</definedName>
    <definedName name="TipoR1">'Tabla Presupuesto Personal'!$C$35</definedName>
    <definedName name="TipoR2">'Tabla Presupuesto Personal'!$C$36</definedName>
    <definedName name="TipoR3">'Tabla Presupuesto Personal'!$C$37</definedName>
    <definedName name="TipoR4">'Tabla Presupuesto Personal'!$C$38</definedName>
    <definedName name="TipoR5">'Tabla Presupuesto Personal'!$C$39</definedName>
    <definedName name="_xlnm.Print_Titles" localSheetId="0">Formato!$1:$2</definedName>
    <definedName name="Vl_riesgos_est">'Tabla Presupuesto Personal'!$S$7:$S$29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7" i="5" l="1"/>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7"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7"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7"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7"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F45" i="3"/>
  <c r="F46" i="3"/>
  <c r="F47" i="3"/>
  <c r="E45" i="3"/>
  <c r="E46" i="3"/>
  <c r="E47" i="3"/>
  <c r="F48" i="3"/>
  <c r="E48" i="3"/>
  <c r="A27" i="1"/>
  <c r="C3" i="5"/>
  <c r="C4" i="5"/>
  <c r="G13" i="4"/>
  <c r="K9" i="4"/>
  <c r="K8" i="4"/>
  <c r="K13" i="4" s="1"/>
  <c r="S8" i="3"/>
  <c r="S9" i="3"/>
  <c r="S10" i="3"/>
  <c r="S11" i="3"/>
  <c r="S12" i="3"/>
  <c r="S13" i="3"/>
  <c r="S14" i="3"/>
  <c r="S15" i="3"/>
  <c r="S16" i="3"/>
  <c r="S17" i="3"/>
  <c r="S18" i="3"/>
  <c r="S19" i="3"/>
  <c r="S20" i="3"/>
  <c r="S21" i="3"/>
  <c r="S22" i="3"/>
  <c r="S23" i="3"/>
  <c r="S24" i="3"/>
  <c r="S25" i="3"/>
  <c r="S26" i="3"/>
  <c r="S27" i="3"/>
  <c r="S28" i="3"/>
  <c r="S29" i="3"/>
  <c r="J38" i="5" l="1"/>
  <c r="T8" i="3"/>
  <c r="Q8" i="3" l="1"/>
  <c r="K127" i="4" l="1"/>
  <c r="K132" i="4"/>
  <c r="K133" i="4"/>
  <c r="J134" i="4"/>
  <c r="I134" i="4"/>
  <c r="H134" i="4"/>
  <c r="G134" i="4"/>
  <c r="J50" i="4" l="1"/>
  <c r="K47" i="4"/>
  <c r="K45" i="4"/>
  <c r="K46" i="4"/>
  <c r="K44" i="4"/>
  <c r="G26" i="4"/>
  <c r="H26" i="4"/>
  <c r="I26" i="4"/>
  <c r="J26" i="4"/>
  <c r="K21" i="4"/>
  <c r="K22" i="4"/>
  <c r="K20" i="4"/>
  <c r="W8" i="3"/>
  <c r="W9" i="3"/>
  <c r="W10" i="3"/>
  <c r="W11" i="3"/>
  <c r="W12" i="3"/>
  <c r="W13" i="3"/>
  <c r="W14" i="3"/>
  <c r="W15" i="3"/>
  <c r="W16" i="3"/>
  <c r="W17" i="3"/>
  <c r="W18" i="3"/>
  <c r="W19" i="3"/>
  <c r="W20" i="3"/>
  <c r="W21" i="3"/>
  <c r="W22" i="3"/>
  <c r="W23" i="3"/>
  <c r="W24" i="3"/>
  <c r="W25" i="3"/>
  <c r="W26" i="3"/>
  <c r="W27" i="3"/>
  <c r="W28" i="3"/>
  <c r="W29" i="3"/>
  <c r="T12" i="3"/>
  <c r="T13" i="3"/>
  <c r="T14" i="3"/>
  <c r="T15" i="3"/>
  <c r="T16" i="3"/>
  <c r="T17" i="3"/>
  <c r="T18" i="3"/>
  <c r="T19" i="3"/>
  <c r="T20" i="3"/>
  <c r="T21" i="3"/>
  <c r="T22" i="3"/>
  <c r="T23" i="3"/>
  <c r="T24" i="3"/>
  <c r="T25" i="3"/>
  <c r="T26" i="3"/>
  <c r="T27" i="3"/>
  <c r="T28" i="3"/>
  <c r="T29" i="3"/>
  <c r="S30" i="3" l="1"/>
  <c r="T10" i="3"/>
  <c r="K36" i="5" l="1"/>
  <c r="I38" i="5" l="1"/>
  <c r="E38" i="5"/>
  <c r="K35" i="5" l="1"/>
  <c r="K37" i="5"/>
  <c r="C2" i="5"/>
  <c r="C2" i="4"/>
  <c r="C2" i="3"/>
  <c r="K10" i="5" l="1"/>
  <c r="K11" i="5"/>
  <c r="K12" i="5"/>
  <c r="K13" i="5"/>
  <c r="K14" i="5"/>
  <c r="K15" i="5"/>
  <c r="K16" i="5"/>
  <c r="K17" i="5"/>
  <c r="K18" i="5"/>
  <c r="K19" i="5"/>
  <c r="K20" i="5"/>
  <c r="K21" i="5"/>
  <c r="K22" i="5"/>
  <c r="K23" i="5"/>
  <c r="K24" i="5"/>
  <c r="K25" i="5"/>
  <c r="K26" i="5"/>
  <c r="K27" i="5"/>
  <c r="K28" i="5"/>
  <c r="K29" i="5"/>
  <c r="K30" i="5"/>
  <c r="K31" i="5"/>
  <c r="K32" i="5"/>
  <c r="K33" i="5"/>
  <c r="K34" i="5"/>
  <c r="J13" i="4"/>
  <c r="G79" i="4"/>
  <c r="K71" i="4"/>
  <c r="K70" i="4"/>
  <c r="I13" i="4"/>
  <c r="H13" i="4"/>
  <c r="K12" i="4"/>
  <c r="K11" i="4"/>
  <c r="K10" i="4"/>
  <c r="Q23" i="3"/>
  <c r="U23" i="3"/>
  <c r="V23" i="3"/>
  <c r="Q24" i="3"/>
  <c r="U24" i="3"/>
  <c r="V24" i="3"/>
  <c r="Q25" i="3"/>
  <c r="U25" i="3"/>
  <c r="V25" i="3"/>
  <c r="K97" i="4" l="1"/>
  <c r="V29" i="3" l="1"/>
  <c r="V8" i="3"/>
  <c r="V9" i="3"/>
  <c r="V10" i="3"/>
  <c r="V11" i="3"/>
  <c r="V12" i="3"/>
  <c r="V13" i="3"/>
  <c r="V14" i="3"/>
  <c r="V16" i="3"/>
  <c r="V17" i="3"/>
  <c r="V18" i="3"/>
  <c r="V19" i="3"/>
  <c r="V20" i="3"/>
  <c r="V21" i="3"/>
  <c r="V22" i="3"/>
  <c r="V26" i="3"/>
  <c r="V27" i="3"/>
  <c r="V28" i="3"/>
  <c r="H38" i="5" l="1"/>
  <c r="D44" i="5" s="1"/>
  <c r="Q10" i="3"/>
  <c r="J37" i="4"/>
  <c r="G38" i="5" l="1"/>
  <c r="D43" i="5" s="1"/>
  <c r="C38" i="5"/>
  <c r="D41" i="5" l="1"/>
  <c r="D52" i="5" s="1"/>
  <c r="C48" i="5"/>
  <c r="E52" i="5"/>
  <c r="E43" i="5"/>
  <c r="K9" i="5"/>
  <c r="K119" i="4"/>
  <c r="K120" i="4"/>
  <c r="K121" i="4"/>
  <c r="K122" i="4"/>
  <c r="K123" i="4"/>
  <c r="K124" i="4"/>
  <c r="K125" i="4"/>
  <c r="K126" i="4"/>
  <c r="K128" i="4"/>
  <c r="K129" i="4"/>
  <c r="K130" i="4"/>
  <c r="K131" i="4"/>
  <c r="K118" i="4"/>
  <c r="G112" i="4"/>
  <c r="G101" i="4"/>
  <c r="G90" i="4"/>
  <c r="G61" i="4"/>
  <c r="G50" i="4"/>
  <c r="G37" i="4"/>
  <c r="K19" i="4"/>
  <c r="Q9" i="3"/>
  <c r="T9" i="3" s="1"/>
  <c r="K7" i="5" l="1"/>
  <c r="F38" i="5"/>
  <c r="K134" i="4"/>
  <c r="D48" i="5"/>
  <c r="M101" i="4"/>
  <c r="J101" i="4"/>
  <c r="I101" i="4"/>
  <c r="H101" i="4"/>
  <c r="K100" i="4"/>
  <c r="K99" i="4"/>
  <c r="K98" i="4"/>
  <c r="K96" i="4"/>
  <c r="K25" i="4"/>
  <c r="K24" i="4"/>
  <c r="K23" i="4"/>
  <c r="I50" i="4"/>
  <c r="H50" i="4"/>
  <c r="K49" i="4"/>
  <c r="K48" i="4"/>
  <c r="K43" i="4"/>
  <c r="J61" i="4"/>
  <c r="I61" i="4"/>
  <c r="H61" i="4"/>
  <c r="K60" i="4"/>
  <c r="K59" i="4"/>
  <c r="K58" i="4"/>
  <c r="K57" i="4"/>
  <c r="K56" i="4"/>
  <c r="J79" i="4"/>
  <c r="I79" i="4"/>
  <c r="H79" i="4"/>
  <c r="K78" i="4"/>
  <c r="K77" i="4"/>
  <c r="K76" i="4"/>
  <c r="K75" i="4"/>
  <c r="K74" i="4"/>
  <c r="K73" i="4"/>
  <c r="K72" i="4"/>
  <c r="K69" i="4"/>
  <c r="K68" i="4"/>
  <c r="K67" i="4"/>
  <c r="J90" i="4"/>
  <c r="I90" i="4"/>
  <c r="H90" i="4"/>
  <c r="K89" i="4"/>
  <c r="K88" i="4"/>
  <c r="K87" i="4"/>
  <c r="K86" i="4"/>
  <c r="K85" i="4"/>
  <c r="J112" i="4"/>
  <c r="I112" i="4"/>
  <c r="H112" i="4"/>
  <c r="K111" i="4"/>
  <c r="K110" i="4"/>
  <c r="K109" i="4"/>
  <c r="K108" i="4"/>
  <c r="K107" i="4"/>
  <c r="I37" i="4"/>
  <c r="H37" i="4"/>
  <c r="K36" i="4"/>
  <c r="K35" i="4"/>
  <c r="K34" i="4"/>
  <c r="K33" i="4"/>
  <c r="K32" i="4"/>
  <c r="U29" i="3"/>
  <c r="Q29" i="3"/>
  <c r="U28" i="3"/>
  <c r="Q28" i="3"/>
  <c r="U27" i="3"/>
  <c r="Q27" i="3"/>
  <c r="U26" i="3"/>
  <c r="Q26" i="3"/>
  <c r="U22" i="3"/>
  <c r="Q22" i="3"/>
  <c r="U21" i="3"/>
  <c r="Q21" i="3"/>
  <c r="U20" i="3"/>
  <c r="Q20" i="3"/>
  <c r="Q19" i="3"/>
  <c r="U19" i="3" s="1"/>
  <c r="Q18" i="3"/>
  <c r="U18" i="3" s="1"/>
  <c r="Q17" i="3"/>
  <c r="U17" i="3" s="1"/>
  <c r="U16" i="3"/>
  <c r="Q16" i="3"/>
  <c r="U15" i="3"/>
  <c r="Q15" i="3"/>
  <c r="V15" i="3" s="1"/>
  <c r="U14" i="3"/>
  <c r="Q14" i="3"/>
  <c r="U13" i="3"/>
  <c r="Q13" i="3"/>
  <c r="U12" i="3"/>
  <c r="Q12" i="3"/>
  <c r="U11" i="3"/>
  <c r="Q11" i="3"/>
  <c r="T11" i="3" s="1"/>
  <c r="U10" i="3"/>
  <c r="U9" i="3"/>
  <c r="U8" i="3"/>
  <c r="A8" i="3"/>
  <c r="A9" i="3" s="1"/>
  <c r="A10" i="3" s="1"/>
  <c r="A11" i="3" s="1"/>
  <c r="A12" i="3" s="1"/>
  <c r="A13" i="3" s="1"/>
  <c r="A14" i="3" s="1"/>
  <c r="A15" i="3" s="1"/>
  <c r="A16" i="3" s="1"/>
  <c r="A17" i="3" s="1"/>
  <c r="A18" i="3" s="1"/>
  <c r="A19" i="3" s="1"/>
  <c r="A20" i="3" s="1"/>
  <c r="A21" i="3" s="1"/>
  <c r="A22" i="3" s="1"/>
  <c r="A23" i="3" s="1"/>
  <c r="A24" i="3" s="1"/>
  <c r="A25" i="3" s="1"/>
  <c r="A26" i="3" s="1"/>
  <c r="A27" i="3" s="1"/>
  <c r="A28" i="3" s="1"/>
  <c r="A29" i="3" s="1"/>
  <c r="E48" i="5" l="1"/>
  <c r="D38" i="5"/>
  <c r="K8" i="5"/>
  <c r="K38" i="5" s="1"/>
  <c r="W30" i="3"/>
  <c r="V30" i="3"/>
  <c r="T30" i="3"/>
  <c r="U30" i="3"/>
  <c r="K90" i="4"/>
  <c r="K37" i="4"/>
  <c r="K61" i="4"/>
  <c r="K26" i="4"/>
  <c r="K50" i="4"/>
  <c r="K101" i="4"/>
  <c r="K112" i="4"/>
  <c r="K79" i="4"/>
  <c r="D42" i="5" l="1"/>
  <c r="E41" i="5" s="1"/>
  <c r="E23" i="1"/>
  <c r="K15" i="1"/>
  <c r="E45" i="5" l="1"/>
  <c r="E21" i="1"/>
  <c r="E22" i="1" l="1"/>
  <c r="E20" i="1" l="1"/>
  <c r="K20" i="1" s="1"/>
  <c r="E24" i="1"/>
  <c r="A79" i="2"/>
  <c r="A8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G6" authorId="0" shapeId="0" xr:uid="{00000000-0006-0000-0200-000001000000}">
      <text>
        <r>
          <rPr>
            <b/>
            <sz val="9"/>
            <color indexed="81"/>
            <rFont val="Tahoma"/>
            <family val="2"/>
          </rPr>
          <t>Usuario:</t>
        </r>
        <r>
          <rPr>
            <sz val="9"/>
            <color indexed="81"/>
            <rFont val="Tahoma"/>
            <family val="2"/>
          </rPr>
          <t xml:space="preserve">
Informar en esta columna lo que se va a solicitar a la VIE</t>
        </r>
      </text>
    </comment>
    <comment ref="G17" authorId="0" shapeId="0" xr:uid="{00000000-0006-0000-0200-000002000000}">
      <text>
        <r>
          <rPr>
            <b/>
            <sz val="9"/>
            <color indexed="81"/>
            <rFont val="Tahoma"/>
            <family val="2"/>
          </rPr>
          <t>Usuario:</t>
        </r>
        <r>
          <rPr>
            <sz val="9"/>
            <color indexed="81"/>
            <rFont val="Tahoma"/>
            <family val="2"/>
          </rPr>
          <t xml:space="preserve">
Informar en esta columna lo que se va a solicitar a la VIE</t>
        </r>
      </text>
    </comment>
    <comment ref="G30" authorId="0" shapeId="0" xr:uid="{00000000-0006-0000-0200-000003000000}">
      <text>
        <r>
          <rPr>
            <b/>
            <sz val="9"/>
            <color indexed="81"/>
            <rFont val="Tahoma"/>
            <family val="2"/>
          </rPr>
          <t>Usuario:</t>
        </r>
        <r>
          <rPr>
            <sz val="9"/>
            <color indexed="81"/>
            <rFont val="Tahoma"/>
            <family val="2"/>
          </rPr>
          <t xml:space="preserve">
Informar en esta columna lo que se va a solicitar a la VIE</t>
        </r>
      </text>
    </comment>
    <comment ref="G41" authorId="0" shapeId="0" xr:uid="{00000000-0006-0000-0200-000004000000}">
      <text>
        <r>
          <rPr>
            <b/>
            <sz val="9"/>
            <color indexed="81"/>
            <rFont val="Tahoma"/>
            <family val="2"/>
          </rPr>
          <t>Usuario:</t>
        </r>
        <r>
          <rPr>
            <sz val="9"/>
            <color indexed="81"/>
            <rFont val="Tahoma"/>
            <family val="2"/>
          </rPr>
          <t xml:space="preserve">
Informar en esta columna lo que se va a solicitar a la VIE</t>
        </r>
      </text>
    </comment>
    <comment ref="G54" authorId="0" shapeId="0" xr:uid="{00000000-0006-0000-0200-000005000000}">
      <text>
        <r>
          <rPr>
            <b/>
            <sz val="9"/>
            <color indexed="81"/>
            <rFont val="Tahoma"/>
            <family val="2"/>
          </rPr>
          <t>Usuario:</t>
        </r>
        <r>
          <rPr>
            <sz val="9"/>
            <color indexed="81"/>
            <rFont val="Tahoma"/>
            <family val="2"/>
          </rPr>
          <t xml:space="preserve">
Informar en esta columna lo que se va a solicitar a la VIE</t>
        </r>
      </text>
    </comment>
    <comment ref="G65" authorId="0" shapeId="0" xr:uid="{00000000-0006-0000-0200-000006000000}">
      <text>
        <r>
          <rPr>
            <b/>
            <sz val="9"/>
            <color indexed="81"/>
            <rFont val="Tahoma"/>
            <family val="2"/>
          </rPr>
          <t>Usuario:</t>
        </r>
        <r>
          <rPr>
            <sz val="9"/>
            <color indexed="81"/>
            <rFont val="Tahoma"/>
            <family val="2"/>
          </rPr>
          <t xml:space="preserve">
Informar en esta columna lo que se va a solicitar a la VIE</t>
        </r>
      </text>
    </comment>
    <comment ref="G83" authorId="0" shapeId="0" xr:uid="{00000000-0006-0000-0200-000007000000}">
      <text>
        <r>
          <rPr>
            <b/>
            <sz val="9"/>
            <color indexed="81"/>
            <rFont val="Tahoma"/>
            <family val="2"/>
          </rPr>
          <t>Usuario:</t>
        </r>
        <r>
          <rPr>
            <sz val="9"/>
            <color indexed="81"/>
            <rFont val="Tahoma"/>
            <family val="2"/>
          </rPr>
          <t xml:space="preserve">
Informar en esta columna lo que se va a solicitar a la VIE</t>
        </r>
      </text>
    </comment>
    <comment ref="G94" authorId="0" shapeId="0" xr:uid="{00000000-0006-0000-0200-000008000000}">
      <text>
        <r>
          <rPr>
            <b/>
            <sz val="9"/>
            <color indexed="81"/>
            <rFont val="Tahoma"/>
            <family val="2"/>
          </rPr>
          <t>Usuario:</t>
        </r>
        <r>
          <rPr>
            <sz val="9"/>
            <color indexed="81"/>
            <rFont val="Tahoma"/>
            <family val="2"/>
          </rPr>
          <t xml:space="preserve">
Informar en esta columna lo que se va a solicitar a la VIE</t>
        </r>
      </text>
    </comment>
    <comment ref="G105" authorId="0" shapeId="0" xr:uid="{00000000-0006-0000-0200-000009000000}">
      <text>
        <r>
          <rPr>
            <b/>
            <sz val="9"/>
            <color indexed="81"/>
            <rFont val="Tahoma"/>
            <family val="2"/>
          </rPr>
          <t>Usuario:</t>
        </r>
        <r>
          <rPr>
            <sz val="9"/>
            <color indexed="81"/>
            <rFont val="Tahoma"/>
            <family val="2"/>
          </rPr>
          <t xml:space="preserve">
Informar en esta columna lo que se va a solicitar a la VIE</t>
        </r>
      </text>
    </comment>
    <comment ref="G116" authorId="0" shapeId="0" xr:uid="{00000000-0006-0000-0200-00000A000000}">
      <text>
        <r>
          <rPr>
            <b/>
            <sz val="9"/>
            <color indexed="81"/>
            <rFont val="Tahoma"/>
            <family val="2"/>
          </rPr>
          <t>Usuario:</t>
        </r>
        <r>
          <rPr>
            <sz val="9"/>
            <color indexed="81"/>
            <rFont val="Tahoma"/>
            <family val="2"/>
          </rPr>
          <t xml:space="preserve">
Informar en esta columna lo que se va a solicitar a la VIE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VIE</author>
    <author>UIS</author>
  </authors>
  <commentList>
    <comment ref="C5" authorId="0" shapeId="0" xr:uid="{00000000-0006-0000-0300-000001000000}">
      <text>
        <r>
          <rPr>
            <b/>
            <sz val="9"/>
            <color rgb="FF000000"/>
            <rFont val="Tahoma"/>
            <family val="2"/>
          </rPr>
          <t>VIE:</t>
        </r>
        <r>
          <rPr>
            <sz val="9"/>
            <color rgb="FF000000"/>
            <rFont val="Tahoma"/>
            <family val="2"/>
          </rPr>
          <t xml:space="preserve">
</t>
        </r>
        <r>
          <rPr>
            <sz val="9"/>
            <color rgb="FF000000"/>
            <rFont val="Tahoma"/>
            <family val="2"/>
          </rPr>
          <t>Solicitado a la VIE para ejecución durante el año 2025</t>
        </r>
      </text>
    </comment>
    <comment ref="E5" authorId="0" shapeId="0" xr:uid="{00000000-0006-0000-0300-000002000000}">
      <text>
        <r>
          <rPr>
            <b/>
            <sz val="9"/>
            <color rgb="FF000000"/>
            <rFont val="Tahoma"/>
            <family val="2"/>
          </rPr>
          <t>VIE:</t>
        </r>
        <r>
          <rPr>
            <sz val="9"/>
            <color rgb="FF000000"/>
            <rFont val="Tahoma"/>
            <family val="2"/>
          </rPr>
          <t xml:space="preserve">
</t>
        </r>
        <r>
          <rPr>
            <sz val="9"/>
            <color rgb="FF000000"/>
            <rFont val="Tahoma"/>
            <family val="2"/>
          </rPr>
          <t>Solicitado a la VIE para ejecución durante el año 2026</t>
        </r>
      </text>
    </comment>
    <comment ref="G5" authorId="1" shapeId="0" xr:uid="{00000000-0006-0000-0300-000003000000}">
      <text>
        <r>
          <rPr>
            <b/>
            <sz val="8"/>
            <color rgb="FF000000"/>
            <rFont val="Tahoma"/>
            <family val="2"/>
          </rPr>
          <t>UIS:</t>
        </r>
        <r>
          <rPr>
            <sz val="8"/>
            <color rgb="FF000000"/>
            <rFont val="Tahoma"/>
            <family val="2"/>
          </rPr>
          <t xml:space="preserve">
</t>
        </r>
        <r>
          <rPr>
            <sz val="8"/>
            <color rgb="FF000000"/>
            <rFont val="Tahoma"/>
            <family val="2"/>
          </rPr>
          <t>Adjuntar la constancia de aprobación de financiación por parte de la entidad. Este recurso es para ejecución en el año 2025</t>
        </r>
      </text>
    </comment>
    <comment ref="I5" authorId="1" shapeId="0" xr:uid="{00000000-0006-0000-0300-000004000000}">
      <text>
        <r>
          <rPr>
            <b/>
            <sz val="8"/>
            <color rgb="FF000000"/>
            <rFont val="Tahoma"/>
            <family val="2"/>
          </rPr>
          <t>UIS:</t>
        </r>
        <r>
          <rPr>
            <sz val="8"/>
            <color rgb="FF000000"/>
            <rFont val="Tahoma"/>
            <family val="2"/>
          </rPr>
          <t xml:space="preserve">
</t>
        </r>
        <r>
          <rPr>
            <sz val="8"/>
            <color rgb="FF000000"/>
            <rFont val="Tahoma"/>
            <family val="2"/>
          </rPr>
          <t>Adjuntar la constancia de aprobación de financiación por parte de la entidad. Este recurso es para ejecución en el año 2026</t>
        </r>
      </text>
    </comment>
  </commentList>
</comments>
</file>

<file path=xl/sharedStrings.xml><?xml version="1.0" encoding="utf-8"?>
<sst xmlns="http://schemas.openxmlformats.org/spreadsheetml/2006/main" count="562" uniqueCount="353">
  <si>
    <t xml:space="preserve"> REGISTRO DE PROPUESTA DE INVESTIGACIÓN PARA FINANCIACIÓN INTERNA</t>
  </si>
  <si>
    <t>VICERRECTORÍA DE INVESTIGACIÓN Y EXTENSIÓN - VIE</t>
  </si>
  <si>
    <t>IDENTIFICACIÓN DE LA PROPUESTA</t>
  </si>
  <si>
    <r>
      <t xml:space="preserve">CONVOCATORIA
</t>
    </r>
    <r>
      <rPr>
        <sz val="8"/>
        <color indexed="8"/>
        <rFont val="Arial"/>
        <family val="2"/>
      </rPr>
      <t>(Seleccione la convocatoria en la que presenta su propuesta)</t>
    </r>
    <r>
      <rPr>
        <b/>
        <sz val="10"/>
        <color indexed="8"/>
        <rFont val="Arial"/>
        <family val="2"/>
      </rPr>
      <t>:</t>
    </r>
  </si>
  <si>
    <r>
      <t xml:space="preserve">MODALIDAD
</t>
    </r>
    <r>
      <rPr>
        <sz val="8"/>
        <color indexed="8"/>
        <rFont val="Arial"/>
        <family val="2"/>
      </rPr>
      <t>(Seleccione la modalidad en la que presenta su propuesta)</t>
    </r>
    <r>
      <rPr>
        <b/>
        <sz val="10"/>
        <color indexed="8"/>
        <rFont val="Arial"/>
        <family val="2"/>
      </rPr>
      <t>:</t>
    </r>
  </si>
  <si>
    <t>NO APLICA</t>
  </si>
  <si>
    <t>PROPUESTA</t>
  </si>
  <si>
    <t>TÍTULO DE LA PROPUESTA  DE INVESTIGACIÓN:</t>
  </si>
  <si>
    <t>OBJETIVO:</t>
  </si>
  <si>
    <r>
      <rPr>
        <sz val="10"/>
        <color rgb="FF000000"/>
        <rFont val="Arial"/>
        <family val="2"/>
      </rPr>
      <t>SELECCIONE</t>
    </r>
    <r>
      <rPr>
        <b/>
        <sz val="10"/>
        <color rgb="FF000000"/>
        <rFont val="Arial"/>
        <family val="2"/>
      </rPr>
      <t xml:space="preserve"> LA AGENDA DE INVESTIGACIÓN,</t>
    </r>
    <r>
      <rPr>
        <sz val="10"/>
        <color rgb="FF000000"/>
        <rFont val="Arial"/>
        <family val="2"/>
      </rPr>
      <t xml:space="preserve"> DE LAS DEFINIDAS POR LA MISIÓN 6.0, A LA CUAL LA PROPUESTA CONTRIBUYE DE MANERA PRIORITARIA:</t>
    </r>
  </si>
  <si>
    <r>
      <t xml:space="preserve">SELECCIONE </t>
    </r>
    <r>
      <rPr>
        <b/>
        <sz val="10"/>
        <color theme="1"/>
        <rFont val="Arial"/>
        <family val="2"/>
      </rPr>
      <t>EL OBJETIVO DE DESAROLLO SOSTENIBLE - ODS</t>
    </r>
    <r>
      <rPr>
        <sz val="10"/>
        <color theme="1"/>
        <rFont val="Arial"/>
        <family val="2"/>
      </rPr>
      <t xml:space="preserve"> AL CUAL LA PROPUESTA CONTRIBUYE DE MANERA PRIORITARIA:</t>
    </r>
  </si>
  <si>
    <r>
      <t xml:space="preserve">SELECCIONE EL </t>
    </r>
    <r>
      <rPr>
        <b/>
        <sz val="10"/>
        <color theme="1"/>
        <rFont val="Arial"/>
        <family val="2"/>
      </rPr>
      <t>EJE</t>
    </r>
    <r>
      <rPr>
        <sz val="10"/>
        <color theme="1"/>
        <rFont val="Arial"/>
        <family val="2"/>
      </rPr>
      <t xml:space="preserve"> SI SU PROPUESTA ES PARA LA CONVOCATORIA EN INVESTIGACiÓN POR NUESTRO BIEN-ESTAR CON ENFOQUE EN SALUD MENTAL</t>
    </r>
  </si>
  <si>
    <t>DESCRIPTORES / PALABRAS CLAVES (Identifique palabras claves que definen el proyecto y que permiten ubicarlo en sistemas de información):</t>
  </si>
  <si>
    <t>LÍNEA DE INVESTIGACIÓN A LA QUE SE ADSCRIBE EL PROYECTO:</t>
  </si>
  <si>
    <t>DURACIÓN DEL PROYECTO:</t>
  </si>
  <si>
    <t>Meses</t>
  </si>
  <si>
    <t>PARTICIPANTES DE LA PROPUESTA</t>
  </si>
  <si>
    <t>DIRECTOR(A) DE LA PROPUESTA:</t>
  </si>
  <si>
    <t>CELULAR:</t>
  </si>
  <si>
    <t>TELÉFONO FIJO Y EXTENSIÓN:</t>
  </si>
  <si>
    <t>CANTIDAD DE ENTIDADES / INSTITUCIONES ALIADAS EXTERNAS PARTICIPANTES:</t>
  </si>
  <si>
    <r>
      <rPr>
        <b/>
        <sz val="10"/>
        <color rgb="FF000000"/>
        <rFont val="Arial"/>
        <family val="2"/>
      </rPr>
      <t>FINANCIACIÓN
(</t>
    </r>
    <r>
      <rPr>
        <b/>
        <i/>
        <sz val="10"/>
        <color rgb="FF000000"/>
        <rFont val="Arial"/>
        <family val="2"/>
      </rPr>
      <t>No se requiere diligenciar en esta hoja; 
estos datos se cargan automáticamente cuando se diligencia el Presupuesto</t>
    </r>
    <r>
      <rPr>
        <b/>
        <sz val="10"/>
        <color rgb="FF000000"/>
        <rFont val="Arial"/>
        <family val="2"/>
      </rPr>
      <t>)</t>
    </r>
  </si>
  <si>
    <t>FINANCIACIÓN SOLICITADA (DESEMBOLSABLE):</t>
  </si>
  <si>
    <r>
      <t>CONTRAPARTIDA (</t>
    </r>
    <r>
      <rPr>
        <i/>
        <sz val="10"/>
        <color indexed="8"/>
        <rFont val="Arial"/>
        <family val="2"/>
      </rPr>
      <t>NO DESEMBOLSABLE</t>
    </r>
    <r>
      <rPr>
        <sz val="10"/>
        <color indexed="8"/>
        <rFont val="Arial"/>
        <family val="2"/>
      </rPr>
      <t>):</t>
    </r>
  </si>
  <si>
    <t>APORTE (DESEMBOLSABLE) OTRA(S) ENTIDAD(ES):</t>
  </si>
  <si>
    <r>
      <rPr>
        <sz val="10"/>
        <color rgb="FF000000"/>
        <rFont val="Arial"/>
        <family val="2"/>
      </rPr>
      <t>APORTE (</t>
    </r>
    <r>
      <rPr>
        <i/>
        <sz val="10"/>
        <color rgb="FF000000"/>
        <rFont val="Arial"/>
        <family val="2"/>
      </rPr>
      <t xml:space="preserve">NO DESEMBOLSABLE) </t>
    </r>
    <r>
      <rPr>
        <sz val="10"/>
        <color rgb="FF000000"/>
        <rFont val="Arial"/>
        <family val="2"/>
      </rPr>
      <t>OTRA(S) ENTIDAD(ES):</t>
    </r>
  </si>
  <si>
    <t>COSTO TOTAL DEL PROYECTO:</t>
  </si>
  <si>
    <t>COMPROMISOS</t>
  </si>
  <si>
    <t>Espacio para director(a) y coinvestigadores(as) con filiación UIS</t>
  </si>
  <si>
    <t>Nombre completo</t>
  </si>
  <si>
    <t>Cédula</t>
  </si>
  <si>
    <t>Escuela</t>
  </si>
  <si>
    <t>ORCID</t>
  </si>
  <si>
    <t>Nombre del grupo de investigación
(si aplica)</t>
  </si>
  <si>
    <t>Correo electrónico</t>
  </si>
  <si>
    <t>Tipo de vinculación (planta, cátedra, ocasional)</t>
  </si>
  <si>
    <t>Firma</t>
  </si>
  <si>
    <t>Director(a) de la propuesta</t>
  </si>
  <si>
    <t>Coinvestigador(a) 1</t>
  </si>
  <si>
    <t>Coinvestigador(a) 2</t>
  </si>
  <si>
    <t>Coinvestigador(a) 3</t>
  </si>
  <si>
    <t>Coinvestigador(a) 4</t>
  </si>
  <si>
    <t>Coinvestigador(a) 5</t>
  </si>
  <si>
    <t>Espacio para directores(as) de los grupos de investigación</t>
  </si>
  <si>
    <t>Nombre del grupo de investigación</t>
  </si>
  <si>
    <t>Director(a) del grupo de investigación 1</t>
  </si>
  <si>
    <t>Director(a) del grupo de investigación 2</t>
  </si>
  <si>
    <t>Director(a) del grupo de investigación 3</t>
  </si>
  <si>
    <t>Espacio para directores(as) de escuela</t>
  </si>
  <si>
    <t>Facultad</t>
  </si>
  <si>
    <t>Director(a) de escuela 1</t>
  </si>
  <si>
    <t>Director(a) de escuela 2</t>
  </si>
  <si>
    <t>Director(a) de escuela 3</t>
  </si>
  <si>
    <t>Tabla Presupuesto Personal</t>
  </si>
  <si>
    <t>NOMBRE PROPUESTA:</t>
  </si>
  <si>
    <t>No.</t>
  </si>
  <si>
    <t xml:space="preserve">INFORMACIÓN GENERAL </t>
  </si>
  <si>
    <t>INFORMACIÓN FINANCIERA</t>
  </si>
  <si>
    <t>FINANCIACIÓN</t>
  </si>
  <si>
    <t>Rol</t>
  </si>
  <si>
    <t>Título Académico</t>
  </si>
  <si>
    <t>Años
Experiencia</t>
  </si>
  <si>
    <t>Otros requisitos
(Si aplica)</t>
  </si>
  <si>
    <t>Descripción de la Función o Actividad principal</t>
  </si>
  <si>
    <t>E-mail</t>
  </si>
  <si>
    <t>Teléfono/
Celular</t>
  </si>
  <si>
    <t>Entidad Financiadora</t>
  </si>
  <si>
    <t>Tipo de Financiación</t>
  </si>
  <si>
    <r>
      <t xml:space="preserve">Tiempo dedicación </t>
    </r>
    <r>
      <rPr>
        <b/>
        <sz val="10"/>
        <color theme="1"/>
        <rFont val="Arial"/>
        <family val="2"/>
      </rPr>
      <t>Horas por semana</t>
    </r>
  </si>
  <si>
    <t>Año</t>
  </si>
  <si>
    <t>Meses de Vinculación</t>
  </si>
  <si>
    <t>Rubro</t>
  </si>
  <si>
    <t>Valor Hora ($)</t>
  </si>
  <si>
    <t>Valor Mes($)</t>
  </si>
  <si>
    <t>Tipo Riesgo Estudiantes
Auxiliatura</t>
  </si>
  <si>
    <t>Riesgos Laborales Estudiantes</t>
  </si>
  <si>
    <t xml:space="preserve"> UIS</t>
  </si>
  <si>
    <t>OTRA(S) INSTITUCIÓN(ES)</t>
  </si>
  <si>
    <t>Efectivo</t>
  </si>
  <si>
    <t>Especie</t>
  </si>
  <si>
    <t>TOTAL</t>
  </si>
  <si>
    <t>Tabla 1.Calcular riesgos laborales de las auxiliaturas estudiantiles</t>
  </si>
  <si>
    <t>Tipo</t>
  </si>
  <si>
    <t>Tarifa sobre smlmv</t>
  </si>
  <si>
    <t>Actividades</t>
  </si>
  <si>
    <t>I</t>
  </si>
  <si>
    <t>Financieras, Trabajos de Oficina, Administrativos; centros Educativos, Restaurantes</t>
  </si>
  <si>
    <t>II</t>
  </si>
  <si>
    <t>Algunos procesos manufactureros como la fabricación de tapetes, tejidos, confecciones y flores artificiales Almacenes por Departamentos, Algunas labores Agrícolas</t>
  </si>
  <si>
    <t>III</t>
  </si>
  <si>
    <t>Algunos procesos manufactureros como la fabricación de agujas, alcoholes Artículos de cuero</t>
  </si>
  <si>
    <t>IV</t>
  </si>
  <si>
    <t>Procesos manufactureros como fabricación de aceites, cervezas, vidrios, procesos de galvanización; transporte, servicios de vigilancia privada</t>
  </si>
  <si>
    <t>V</t>
  </si>
  <si>
    <t>Areneras, manejo de asbesto, Bomberos, manejo de explosivos, construcción, Explotación petrolera</t>
  </si>
  <si>
    <t>Tabla 2.Calcular hora de dedicación personal</t>
  </si>
  <si>
    <t>Ítem</t>
  </si>
  <si>
    <t>Observación</t>
  </si>
  <si>
    <t>Coinvestigador(a)</t>
  </si>
  <si>
    <t>Director(a) del proyecto</t>
  </si>
  <si>
    <r>
      <t xml:space="preserve">Estudiante de doctorado </t>
    </r>
    <r>
      <rPr>
        <b/>
        <sz val="11"/>
        <rFont val="Arial"/>
        <family val="2"/>
      </rPr>
      <t>en modalidad auxiliatura</t>
    </r>
  </si>
  <si>
    <t>Si el estudiante se vincula en otra modalidad diferente a auxiliatura se deberá diligenciar el valor de la hora según la valoración de hoja de vida. Tener en cuenta un porcentaje de aumento del siguiente año.</t>
  </si>
  <si>
    <r>
      <t xml:space="preserve">Estudiante de especialización </t>
    </r>
    <r>
      <rPr>
        <b/>
        <sz val="11"/>
        <color theme="1"/>
        <rFont val="Arial"/>
        <family val="2"/>
      </rPr>
      <t>en modalidad auxiliatura</t>
    </r>
  </si>
  <si>
    <r>
      <t xml:space="preserve">Estudiante de maestría </t>
    </r>
    <r>
      <rPr>
        <b/>
        <sz val="11"/>
        <color theme="1"/>
        <rFont val="Arial"/>
        <family val="2"/>
      </rPr>
      <t>en modalidad auxiliatura</t>
    </r>
  </si>
  <si>
    <r>
      <t xml:space="preserve">Estudiante de pregrado </t>
    </r>
    <r>
      <rPr>
        <b/>
        <sz val="11"/>
        <color theme="1"/>
        <rFont val="Arial"/>
        <family val="2"/>
      </rPr>
      <t>en modalidad auxiliatura</t>
    </r>
  </si>
  <si>
    <t>No profesional</t>
  </si>
  <si>
    <t>Diligenciar</t>
  </si>
  <si>
    <t>El valor de la hora es según valoración de hoja de vida.Tener en cuenta un porcentaje de aumento  del siguiente año.</t>
  </si>
  <si>
    <t>Profesional</t>
  </si>
  <si>
    <t>El valor de la hora es según valoración de hoja de vida.Tener en cuenta un porcentaje de aumento del siguiente año.</t>
  </si>
  <si>
    <t>Nota: Las auxiliaturas estudiantiles se reglamentan según el Acuerdo del Consejo Superior N°020 de 2014.</t>
  </si>
  <si>
    <t>Tablas Presupuesto Detallado</t>
  </si>
  <si>
    <t>Tabla 1. Servicios técnicos</t>
  </si>
  <si>
    <t>DESCRIPCIÓN</t>
  </si>
  <si>
    <t>JUSTIFICACIÓN</t>
  </si>
  <si>
    <t>RECURSOS</t>
  </si>
  <si>
    <t>UIS</t>
  </si>
  <si>
    <t>TOTALES</t>
  </si>
  <si>
    <t>Tabla 2. Pasajes, viáticos y gastos de viaje</t>
  </si>
  <si>
    <t>Tabla 3. Equipos de laboratorio y maquinaria</t>
  </si>
  <si>
    <t>EQUIPO/MAQUINARIA</t>
  </si>
  <si>
    <t>Costo Comercial</t>
  </si>
  <si>
    <t>Tabla 4. Prácticas docentes y salidas de campo</t>
  </si>
  <si>
    <t>Tabla 5. Reparación y mantenimiento</t>
  </si>
  <si>
    <t>Tabla 6.  Reactivos y materiales de laboratorio</t>
  </si>
  <si>
    <t>Tabla 7.  Licencias de Software que se planea adquirir</t>
  </si>
  <si>
    <t>LICENCIA</t>
  </si>
  <si>
    <t>Tabla 8.  Papelería y útiles de escritorio</t>
  </si>
  <si>
    <t>Tabla 9.  Libros y material bibliográfico</t>
  </si>
  <si>
    <t>Tabla 10.  Otros rubros</t>
  </si>
  <si>
    <t>Presupuesto global de la propuesta</t>
  </si>
  <si>
    <t>CONVOCATORIA:</t>
  </si>
  <si>
    <t>MODALIDAD:</t>
  </si>
  <si>
    <t>RUBRO</t>
  </si>
  <si>
    <t>Honorarios</t>
  </si>
  <si>
    <t>MODALIDAD MAYOR CUANTÍA</t>
  </si>
  <si>
    <t>Auxiliares estudiantiles</t>
  </si>
  <si>
    <t>ABIERTA O LIBRE CON FINANCIACIÓN</t>
  </si>
  <si>
    <t>Riesgos laborales estudiantes</t>
  </si>
  <si>
    <t>ABIERTA O LIBRE SIN FINANCIACIÓN</t>
  </si>
  <si>
    <t>Servicios Técnicos</t>
  </si>
  <si>
    <t>Pasajes</t>
  </si>
  <si>
    <t>CAPITAL SEMILLA</t>
  </si>
  <si>
    <t>Viáticos</t>
  </si>
  <si>
    <t>Gastos de viaje</t>
  </si>
  <si>
    <t>Equipos de laboratorio</t>
  </si>
  <si>
    <t>Maquinaria</t>
  </si>
  <si>
    <t>Prácticas docentes y salidas de campo</t>
  </si>
  <si>
    <t>Reparación y mantenimiento</t>
  </si>
  <si>
    <t>Reactivos y materiales de laboratorio</t>
  </si>
  <si>
    <t>Licencias de software</t>
  </si>
  <si>
    <t>Papelería y útiles de escritorio</t>
  </si>
  <si>
    <t>Libros y material bibliográfico</t>
  </si>
  <si>
    <t>Equipo audiovisual</t>
  </si>
  <si>
    <t>Equipo de oficina</t>
  </si>
  <si>
    <t>Equipo de cómputo</t>
  </si>
  <si>
    <t>Muebles y enseres</t>
  </si>
  <si>
    <t>Elementos de laboratorio</t>
  </si>
  <si>
    <t>Herramientas</t>
  </si>
  <si>
    <t>Montaje e instalaciones</t>
  </si>
  <si>
    <t>Adecuaciones</t>
  </si>
  <si>
    <t>Arrendamientos</t>
  </si>
  <si>
    <t>Seguros</t>
  </si>
  <si>
    <t>Capacitación de personal</t>
  </si>
  <si>
    <t>Portes y fletes</t>
  </si>
  <si>
    <t>Acarreos</t>
  </si>
  <si>
    <t>Avisos e impresos</t>
  </si>
  <si>
    <t>Semovientes</t>
  </si>
  <si>
    <t>Gastos de importación</t>
  </si>
  <si>
    <t>VALOR TOTAL DEL PROYECTO</t>
  </si>
  <si>
    <t>UIS EFECTIVO</t>
  </si>
  <si>
    <t>PORCENTAJE POR VIGENCIA</t>
  </si>
  <si>
    <t>EFECTIVO</t>
  </si>
  <si>
    <t>PORCENTAJE DEL VALOR EFECTIVO SOLICITADO</t>
  </si>
  <si>
    <t>PORCENTAJE VALIDO</t>
  </si>
  <si>
    <t xml:space="preserve">VALOR PRESUPUESTADO PARA ASC (Coloque en la casilla sombreada en amarillo el valor total de los recursos solicitados en efectivo que se dedicarán a acrtividades de ASC) </t>
  </si>
  <si>
    <t>CONTROL DE CAMBIOS</t>
  </si>
  <si>
    <t>FECHA</t>
  </si>
  <si>
    <t>VERSIÓN</t>
  </si>
  <si>
    <t>CAMBIOS REALIZADOS</t>
  </si>
  <si>
    <t>6 de marzo de 2019</t>
  </si>
  <si>
    <t>* Inclusión control de cambios
* Modificación de los compromisos, de acuerdo a adenda N° 1 publicada el 6 de marzo de 2019.</t>
  </si>
  <si>
    <t>07 de febrero de 2020</t>
  </si>
  <si>
    <t>Modificación nombres, compromisos aplicables y vigencias de las convocatorias año 2020</t>
  </si>
  <si>
    <t>24 de enero de 2022</t>
  </si>
  <si>
    <t>Modificación nombres, compromisos aplicables y vigencias de las convocatorias año 2022</t>
  </si>
  <si>
    <t>07 de Febrero de 2023</t>
  </si>
  <si>
    <t>Modificación nombres, compromisos aplicables y vigencias de las convocatorias año 2023</t>
  </si>
  <si>
    <t>Tipo convocatoria:</t>
  </si>
  <si>
    <t>CONVOCATORIA DE INVESTIGACIÓN POR NUESTRO BIEN-ESTAR</t>
  </si>
  <si>
    <t>CONVOCATORIA DE INVESTIGACIÓN GENERANDO ESPÍRITU CIENTÍFICO</t>
  </si>
  <si>
    <t>Tipo modalidad:</t>
  </si>
  <si>
    <t>Compromisos:</t>
  </si>
  <si>
    <t>CONVOCATORIA INTERNA DE INVESTIGACIÓN - ODS -MODALIDAD INVESTIGACIÓN BÁSICA</t>
  </si>
  <si>
    <t>CONVOCATORIA: RETO Y AGENDAS DE INVESTIGACIÓN UIS - PROGRAMA ESTRATÉGICO DE INVESTIGACIÓN APLICADA INTERDISCIPLINAR</t>
  </si>
  <si>
    <t>CONVOCATORIA INTERNA DE INVESTIGACIÓN - ODS -MODALIDAD INVESTIGACIÓN APLICADA</t>
  </si>
  <si>
    <t>CONVOCATORIA: RETO Y AGENDAS DE INVESTIGACIÓN UIS -  REGIONES UIS</t>
  </si>
  <si>
    <t>CONVOCATORIA INTERNA DE INVESTIGACIÓN - ODS -MODALIDAD DESARROLLO EXPERIMENTAL</t>
  </si>
  <si>
    <t>CONVOCATORIA INTERNA DE INVESTIGACIÓN - ODS -MODALIDAD INVESTIGACIÓN APLICADA INTERDISCIPLINAR</t>
  </si>
  <si>
    <t>CONVOCATORIA INTERNA DE INVESTIGACIÓN GENERANDO ESPÍRITU CIENTÍFICO - INVESTIGACIÓN BÁSICA</t>
  </si>
  <si>
    <t>CONVOCATORIA INTERNA DE INVESTIGACIÓN GENERANDO ESPÍRITU CIENTÍFICO - INVESTIGACIÓN APLICADA</t>
  </si>
  <si>
    <t>Estudiante de doctorado</t>
  </si>
  <si>
    <t>Estudiante de especialización</t>
  </si>
  <si>
    <t>Estudiante de maestría</t>
  </si>
  <si>
    <t>Estudiante de pregrado</t>
  </si>
  <si>
    <t>Entidad financiadora</t>
  </si>
  <si>
    <t>Otra(s) Institución(es)</t>
  </si>
  <si>
    <t>Tipo de financiación</t>
  </si>
  <si>
    <t>Ad-Honorem</t>
  </si>
  <si>
    <t>Rubro personal</t>
  </si>
  <si>
    <t>Rubro viajes</t>
  </si>
  <si>
    <t>Rubro compra</t>
  </si>
  <si>
    <t>smlmv 2026 (estimado)</t>
  </si>
  <si>
    <t>Tipo Riesgo Estudiantes</t>
  </si>
  <si>
    <t>Listado otros rubros</t>
  </si>
  <si>
    <t>Listado ODS</t>
  </si>
  <si>
    <t>Objetivo 1: Poner fin a la pobreza en todas sus formas en todo el mundo</t>
  </si>
  <si>
    <t>Objetivo 2: Poner fin al hambre, lograr la seguridad alimentaria y la mejora de la nutrición y promover la agricultura sostenible</t>
  </si>
  <si>
    <t>Objetivo 3: Garantizar una vida sana y promover el bienestar para todos en todas las edades</t>
  </si>
  <si>
    <t>Objetivo 4: Garantizar una educación inclusiva, equitativa y de calidad y promover oportunidades de aprendizaje durante toda la vida para todos</t>
  </si>
  <si>
    <t>Objetivo 5: Lograr la igualdad entre los géneros y empoderar a todas las mujeres y las niñas</t>
  </si>
  <si>
    <t>Objetivo 6: Garantizar la disponibilidad de agua y su gestión sostenible y el saneamiento para todos</t>
  </si>
  <si>
    <t>Objetivo 7: Garantizar el acceso a una energía asequible, segura, sostenible y moderna para todos</t>
  </si>
  <si>
    <t>Objetivo 8: Promover el crecimiento económico sostenido, inclusivo y sostenible, el empleo pleno y productivo y el trabajo decente para todos</t>
  </si>
  <si>
    <t>Objetivo 9: Construir infraestructuras resilientes, promover la industrialización inclusiva y sostenible y fomentar la innovación</t>
  </si>
  <si>
    <t>Objetivo 10: Reducir la desigualdad en y entre los países</t>
  </si>
  <si>
    <t>Objetivo 11: Lograr que las ciudades y los asentamientos humanos sean inclusivos, seguros, resilientes y sostenibles</t>
  </si>
  <si>
    <t>Objetivo 12: Garantizar modalidades de consumo y producción sostenibles</t>
  </si>
  <si>
    <t>Objetivo 13: Adoptar medidas urgentes para combatir el cambio climático y sus efectos</t>
  </si>
  <si>
    <t>Objetivo 14: Conservar y utilizar en forma sostenible los océanos, los mares y los recursos marinos para el desarrollo sostenible</t>
  </si>
  <si>
    <t>Objetivo 15: Proteger, restablecer y promover el uso sostenible de los ecosistemas terrestres, gestionar los bosques de forma sostenible, luchar contra la desertificación, detener e invertir la degradación de las tierras y poner freno a la pérdida de la diversidad biológica</t>
  </si>
  <si>
    <t>Objetivo 16: Promover sociedades pacíficas e inclusivas para el desarrollo sostenible, facilitar el acceso a la justicia para todos y crear instituciones eficaces, responsables e inclusivas a todos los niveles</t>
  </si>
  <si>
    <t>Objetivo 17: Fortalecer los medios de ejecución y revitalizar la Alianza Mundial para el Desarrollo Sostenible</t>
  </si>
  <si>
    <t>Listado FOCOS</t>
  </si>
  <si>
    <t xml:space="preserve">Foco 1. Tecnologías Convergentes e Industrias 4.0 </t>
  </si>
  <si>
    <t>Foco 2. Industrias Culturales y Creativas</t>
  </si>
  <si>
    <t>Foco 3. Energía Sostenible</t>
  </si>
  <si>
    <t>Foco 4. Bioeconomía, Biotecnología y Medio Ambiente</t>
  </si>
  <si>
    <t>Foco 5. Océanos y Recursos Hidrobiológicos</t>
  </si>
  <si>
    <t>Foco 6. Ciencias Sociales y Desarrollo Humano con Equidad</t>
  </si>
  <si>
    <t>Foco 7. Ciencias de la Vida y de la Salud</t>
  </si>
  <si>
    <t>Foco 8. Ciencias Básicas y del Espacio</t>
  </si>
  <si>
    <t>Listado LINEA DE TRABAJO DEL FOCO</t>
  </si>
  <si>
    <t>Línea 1.1 Industria 4.0. Sistemas Inteligentes.</t>
  </si>
  <si>
    <t>Línea 1.2 Integración de tecnologías convergentes para el mejoramiento de la calidad de vida. Analítica de Datos.</t>
  </si>
  <si>
    <t>Línea 1.3 Integración de tecnologías emergentes y/o convergentes en la seguridad nacional. TIC para la Educación.</t>
  </si>
  <si>
    <t>Línea 1.4 Integración de tecnologías emergentes y/o convergentes en Geociencias.</t>
  </si>
  <si>
    <t>Línea 2.1 Artes y Patrimonio.</t>
  </si>
  <si>
    <t xml:space="preserve">Línea 2.2 Industrias culturales. </t>
  </si>
  <si>
    <t>Línea 2.3 Creaciones funcionales.</t>
  </si>
  <si>
    <t>Línea 3.1 Desarrollo y adaptación de nuevos procesos o tecnologías para generación, transmisión, distribución de energía o integración con la red.</t>
  </si>
  <si>
    <t>Línea 3.2 Sistemas de almacenamiento de energía o complementariedad entre las fuentes renovables y/o energías convencionales.</t>
  </si>
  <si>
    <t>Línea 3.3 Optimización de procesos o tecnologías para la sustitución de combustibles fósiles.</t>
  </si>
  <si>
    <t>Línea 3.4 Desarrollo de procesos o tecnologías que contribuyan a la eficiencia energética del lado de la demanda.</t>
  </si>
  <si>
    <t>Línea 3.5 Desarrollo de metodologías y herramientas que contribuyan al fortalecimiento energético del país.</t>
  </si>
  <si>
    <t xml:space="preserve">Línea 4.1 Valoración económica de los Servicios Ecosistémicos. </t>
  </si>
  <si>
    <t>Línea 4.2 Seguridad Alimentaria.</t>
  </si>
  <si>
    <t xml:space="preserve">Línea 4.3 Producción agropecuaria sostenible. </t>
  </si>
  <si>
    <t>Línea 4.4 Bioprospección y Bioprocesos.</t>
  </si>
  <si>
    <t>Línea 4.5 Gestión Integral del Recurso Hídrico.</t>
  </si>
  <si>
    <t xml:space="preserve">Línea 4.6 Adaptación y mitigación al cambio climático. </t>
  </si>
  <si>
    <t>Línea 4.7 Gestión del riesgo de desastres (GRD).</t>
  </si>
  <si>
    <t>Línea 4.8 Ambientes urbanos y rurales sostenibles.</t>
  </si>
  <si>
    <t>Línea 4.9 Desarrollo de procesos y productos industriales enfocados al consumo responsable.</t>
  </si>
  <si>
    <t xml:space="preserve">Línea 5.1.Componente Físico, Biológico, Químico y Geológico del Medio Marino e hídrico continental. </t>
  </si>
  <si>
    <t>Línea 5.2 Aprovechamiento sostenible del océano y de los recursos marinos, costeros e hídricos continentales.</t>
  </si>
  <si>
    <t>Línea 5.3 Calidad ambiental marina, costera e hídrica continental.</t>
  </si>
  <si>
    <t>Línea 6.1 Postconflicto.</t>
  </si>
  <si>
    <t xml:space="preserve">Línea 6.2 Hábitat, fenómenos sociales y urbanos. </t>
  </si>
  <si>
    <t>Línea 6.3 Violencia y sus manifestaciones.</t>
  </si>
  <si>
    <t>Línea 6.4 Estado, territorio y cultura.</t>
  </si>
  <si>
    <t xml:space="preserve">Línea 6.5 Estrategias innovadoras en el aula. </t>
  </si>
  <si>
    <t>Línea 6.6 Estudios étnicos</t>
  </si>
  <si>
    <t>Línea 7.1 Biología Evolutiva.</t>
  </si>
  <si>
    <t xml:space="preserve">Línea 7.2 Caracterización, taxonomía y sistemática de la biodiversidad. </t>
  </si>
  <si>
    <t>Línea 7.3 Manejo y conservación de especies y ecosistemas.</t>
  </si>
  <si>
    <t xml:space="preserve">Línea 7.4 Conectividad funcional para la biodiversidad. </t>
  </si>
  <si>
    <t>Línea 7.5 Patogénesis.</t>
  </si>
  <si>
    <t>Línea 7.6 Neurociencias y Salud mental.</t>
  </si>
  <si>
    <t>Línea 7.7 Enfermedades transmisibles e infecciosas.</t>
  </si>
  <si>
    <t xml:space="preserve">Línea 7.8 Enfermedades no transmisibles y factores de riesgo. </t>
  </si>
  <si>
    <t>Línea 7.9 Salud ambiental.</t>
  </si>
  <si>
    <t>Línea 7.10 Inmunología.</t>
  </si>
  <si>
    <t xml:space="preserve">Línea 7.11 Enfermedades autoinmunes, raras y huérfanas. </t>
  </si>
  <si>
    <t>Línea 7.12 Tecnologías en Salud.</t>
  </si>
  <si>
    <t>Línea 7.13 Salud pública.</t>
  </si>
  <si>
    <t>Línea 8.1 Materia y energía: Fundamentos y mecanismos.</t>
  </si>
  <si>
    <t xml:space="preserve">Línea 8.2 Materiales: obtención, síntesis, caracterización y procesamiento. </t>
  </si>
  <si>
    <t xml:space="preserve">Línea 8.3 Matemática y Estadística: fundamentos, desarrollos y modelos. </t>
  </si>
  <si>
    <t>Línea 8.4 Geociencias.</t>
  </si>
  <si>
    <t>Línea 8.5 Ciencias del espacio.</t>
  </si>
  <si>
    <t xml:space="preserve">Listado COMPONENTES en la política de equidad de género </t>
  </si>
  <si>
    <t>Gestión del conocimiento con enfoque de género</t>
  </si>
  <si>
    <t>Igualdad en el acceso a las oportunidades y a la participación equitativa</t>
  </si>
  <si>
    <t>Prevención, atención, asistencia, seguimiento y remisión de los hechos de violencia basada en género.</t>
  </si>
  <si>
    <t>Educación y comunicación para la equidad</t>
  </si>
  <si>
    <t>Procesos incluyentes de autoevaluación y curriculares</t>
  </si>
  <si>
    <t>Listado EJES en la política de salud mental</t>
  </si>
  <si>
    <t>Promoción del bienestar social y la calidad de vida en la comunidad universitaria</t>
  </si>
  <si>
    <t>Construcción de un modelo comunitario que facilite el desarrollo de entornos resilientes</t>
  </si>
  <si>
    <t>Consolidación de un modelo de atención primaria en salud mental que favorezca la detección temprana y abordaje integral de los trastornos psiquiátricos con énfasis en aquellos asociados al consumo de sustancias psicoactivas</t>
  </si>
  <si>
    <t>Agendas</t>
  </si>
  <si>
    <t>Sinergias campo - ciudad: cerrando brechas</t>
  </si>
  <si>
    <t>Alimentos y agua para sustentar la vida</t>
  </si>
  <si>
    <t>Transición energética y diversificación productiva sostenible</t>
  </si>
  <si>
    <t>Educación de calidad, vida sana y convivencia en democracia</t>
  </si>
  <si>
    <t>Reconciliando al humano con la naturaleza</t>
  </si>
  <si>
    <t>CONVOCATORIA MISIÓN 6.0: SINERGIAS CAMPO - CIUDAD: CERRANDO BRECHAS</t>
  </si>
  <si>
    <t>CONVOCATORIA MISIÓN 6.0: ALIMENTOS Y AGUA PARA SUSTENTAR LA VIDA</t>
  </si>
  <si>
    <t>CONVOCATORIA MISIÓN 6.0: TRANSICIÓN ENERGÉTICA Y DIVERSIFICACIÓN PRODUCTIVA SOSTENIBLE</t>
  </si>
  <si>
    <t>CONVOCATORIA MISIÓN 6.0: EDUCACIÓN DE CALIDAD, VIDA SANA Y CONVIVENCIA EN DEMOCRACIA</t>
  </si>
  <si>
    <t>CONVOCATORIA MISIÓN 6.0: RECONCILIANDO AL HUMANO CON LA NATURALEZA</t>
  </si>
  <si>
    <t xml:space="preserve">CONVOCATORIA INVESTIGACIÓN CIENTÍFICA BÁSICA GENERAL </t>
  </si>
  <si>
    <t>ASIGNACIÓN DE APOYO A DOCENTES EN PERIODO DE PRUEBA</t>
  </si>
  <si>
    <t xml:space="preserve">INVESTIGACIÓN CIENTÍFICA BÁSICA </t>
  </si>
  <si>
    <t>PROGRAMA ESTRATEGICO DE INVESTIGACIÓN CIENTÍFICA APLICADA O PROYECTOS DE DESARROLLO EXPERIMENTAL TIPO 1</t>
  </si>
  <si>
    <t>PROGRAMA ESTRATEGICO DE INVESTIGACIÓN CIENTÍFICA APLICADA O PROYECTOS DE DESARROLLO EXPERIMENTAL TIPO 2</t>
  </si>
  <si>
    <t>SELECCIONE LA TEMATICA SI SU PROPUESTA ES PARA LA CONVOCATORIA EN INVESTIGACiÓN POR NUESTRO BIEN-ESTAR CON ENFOQUE EN INNOVACIÓN PEGAGOGICA</t>
  </si>
  <si>
    <t>Listado de TEMATICAS en innovación pedagógica</t>
  </si>
  <si>
    <r>
      <t>SELECCIONE EL</t>
    </r>
    <r>
      <rPr>
        <b/>
        <sz val="10"/>
        <color theme="1"/>
        <rFont val="Arial"/>
        <family val="2"/>
      </rPr>
      <t xml:space="preserve"> COMPONENTE </t>
    </r>
    <r>
      <rPr>
        <sz val="10"/>
        <color theme="1"/>
        <rFont val="Arial"/>
        <family val="2"/>
      </rPr>
      <t>SI SU PROPUESTA ES PARA LA CONVOCATORIA EN INVESTIGACiÓN POR NUESTRO BIEN-ESTAR CON ENFOQUE DE EQUIDAD DE GÉNERO</t>
    </r>
  </si>
  <si>
    <t>CANTIDAD DE PROFESORES(AS) DE CARRERA PARTICIPANTES</t>
  </si>
  <si>
    <t>FINANCIACIÓN UIS 2026</t>
  </si>
  <si>
    <t>FINANCIACIÓN OTRA(S) INSTITUCIÓN(ES) 2026</t>
  </si>
  <si>
    <t>EFECTIVO 2026</t>
  </si>
  <si>
    <t>APROPIACIÓN SOCIAL DEL CONOCIMIENTO Y DIVULGACIÓN PÚBLICA DE CIENCIA</t>
  </si>
  <si>
    <t>•Presentar a la Dirección de Investigación y Extensión de la Facultad (DIEF) en la que se suscribió el acta de inicio, un informe de avance a la mitad del periodo de ejecución y el informe final a la terminación del proyecto (Formulario FIN.51). Se debe incluir en el informe una descripción de las actividades de apropiación social del conocimiento y divulgación publica de la ciencia que se realizaron en el desarrollo del proyecto.
•	Transcurrido el 50% del tiempo de ejecución del proyecto, la ejecución presupuestal deberá ser mínimo del 40% del valor total aprobado; en caso contrario, el equipo de investigación quedará inhabilitado para presentar propuestas a las convocatorias del Portafolio VIE del siguiente año. Nota: Para este caso, las prórrogas no se suman al tiempo de ejecución del proyecto inicialmente aprobado.
•	Hasta un año después de finalizado el proyecto, deberá completar un total de 25 puntos en productos académicos de acuerdo con la Tabla No. 2 (ver portafolio). Nota 1: Por lo menos uno de los productos entregados debe corresponder a un producto de generación de nuevo conocimiento relacionado con la temática del proyecto.  Para el caso de docentes de la Escuela de Artes, este requisito puede ser cumplido con los productos artísticos marcados con asterisco en la Tabla No. 2. Nota 2: En todos los productos obtenidos (artículos, ponencias, software, trabajos de grado, tesis, etc.), es necesario dar crédito a la Universidad Industrial de Santander, indicando claramente la filiación institucional y el código o título del proyecto financiado de donde deriva el producto. La filiación a la Universidad debe indicarse como “Universidad Industrial de Santander”, independientemente del idioma en que esté escrito. Nota 3: Debido a que, en la fecha de publicación del presente Portafolio, el proceso de homologación de revistas se encuentra suspendido, el COIE analizará e informará la equivalencia en puntos para los artículos en el momento en que se publiquen los nuevos listados de revistas homologadas por Publindex.
•	Hasta un año después de finalizado el proyecto, se deberá someter una propuesta de investigación o extensión a una entidad externa, que ofrezca financiación. En el caso de propuesta de investigación, ésta debe estar debidamente avalada por el Comité Operativo de Investigación y Extensión. En el caso de las propuestas de extensión, se debe cumplir con lo establecido en el Acuerdo 103 de 2010. Este compromiso es obligatorio y no es homologable.</t>
  </si>
  <si>
    <t>CONVOCATORIA MISIÓN 6.0: PROGRAMA ESTRATEGICO DE INVESTIGACIÓN CIENTÍFICA APLICADA O PROYECTOS DE DESARROLLO EXPERIMENTAL TIPO 1</t>
  </si>
  <si>
    <t>CONVOCATORIA MISIÓN 6.0: PROGRAMA ESTRATEGICO DE INVESTIGACIÓN CIENTÍFICA APLICADA O PROYECTOS DE DESARROLLO EXPERIMENTAL TIPO 2</t>
  </si>
  <si>
    <t xml:space="preserve">CONVOCATORIAS MISIÓN 6.0: INVESTIGACIÓN CIENTÍFICA BASICA:INVESTIGACIÓN CIENTÍFICA BASICA </t>
  </si>
  <si>
    <t>• Presentar a la Dirección de Investigación y Extensión de la Facultad (DIEF) en la que se suscribió el acta de inicio, un informe de avance a la mitad del periodo de ejecución y el informe final a la terminación del proyecto (Formulario FIN.51). Se debe incluir en el informe una descripción de las actividades de apropiación social del conocimiento y divulgación publica de la ciencia que se realizaron en el desarrollo del proyecto.
• Transcurrido el 50% del tiempo de ejecución del proyecto, la ejecución presupuestal deberá ser mínimo del 40% del valor total aprobado; en caso contrario, el equipo de investigación quedará inhabilitado para presentar propuestas a las convocatorias del Portafolio VIE del siguiente año. Nota: Para este caso, las prórrogas no se suman al tiempo de ejecución del proyecto inicialmente aprobado.
• Hasta un año después de finalizado el proyecto, deberá completar 80 puntos en productos académicos de acuerdo con la Tabla No. 2 (ver portafolio). Nota 1: Se deben presentar mínimo tres productos de generación de nuevo conocimiento (artículos científicos, libros, capítulos de libro o patentes) relacionado con la temática del proyecto. Para el caso de docentes de la Escuela de Artes, este requisito puede ser cumplido con los productos artísticos marcados con asterisco en la Tabla No. 2. Nota 2: En todos los productos obtenidos (artículos, ponencias, software, trabajos de grado, tesis, etc.), es necesario dar crédito a la Universidad Industrial de Santander, indicando claramente la filiación institucional y el código o título del proyecto financiado de donde deriva el producto. La filiación a la Universidad debe indicarse como “Universidad Industrial de Santander”, independientemente del idioma en que esté escrito. Nota 3: Debido a que, en la fecha de publicación del presente Portafolio, el proceso de homologación de revistas se encuentra suspendido, el COIE analizará e informará la equivalencia en puntos para los artículos en el momento en que se publiquen los nuevos listados de revistas homologadas por Publindex.
• Hasta un año después de finalizado el proyecto, se deberá someter una propuesta de investigación o extensión a una entidad externa, que ofrezca financiación. En el caso de propuesta de investigación, ésta debe estar debidamente avalada por el Comité Operativo de Investigación y Extensión. En el caso de las propuestas de extensión, se debe cumplir con lo establecido en el Acuerdo 103 de 2010. Este compromiso es obligatorio y no es homologable.</t>
  </si>
  <si>
    <t>• Presentar a la Dirección de Investigación y Extensión de la Facultad (DIEF) en la que se suscribió el acta de inicio, un informe de avance a la mitad del periodo de ejecución y el informe final a la terminación del proyecto (Formulario FIN.51). Se debe incluir en el informe una descripción de las actividades de apropiación social del conocimiento y divulgación publica de la ciencia que se realizaron en el desarrollo del proyecto.
• Transcurrido el 50% del tiempo de ejecución del proyecto, la ejecución presupuestal deberá ser mínimo del 40% del valor total aprobado; en caso contrario, el equipo de investigación quedará inhabilitado para presentar propuestas a las convocatorias del Portafolio VIE del siguiente año. Nota 1: Para este caso, las prórrogas no se suman al tiempo de ejecución del proyecto inicialmente aprobado.
• Hasta un año después de finalizado el proyecto, deberá completar un total de 15 puntos en productos académicos de acuerdo con la Tabla en el documento Términos de referencia “Plan de fortalecimiento de Investigación y Extensión 2025”. Por lo menos uno de los productos entregados debe corresponder a un producto de generación de nuevo conocimiento relacionado con la temática del proyecto.  Para el caso de docentes de la Escuela de Artes, este requisito puede ser cumplido con los productos artísticos marcados con asterisco en la Tabla. En todos los productos obtenidos (artículos, ponencias, software, trabajos de grado, tesis, etc.), es necesario dar crédito a la Universidad Industrial de Santander, indicando claramente la filiación institucional y el código o título del proyecto financiado de donde deriva el producto. La filiación a la Universidad debe indicarse como “Universidad Industrial de Santander”, independientemente del idioma en que esté escrito. 
• Adicionalmente, hasta un año después de finalizado el proyecto, se deberá someter una propuesta de investigación o extensión a una entidad externa, que ofrezca financiación. En el caso de propuesta de investigación, ésta debe estar debidamente avalada por el Comité Operativo de Investigación y Extensión. En el caso de las propuestas de extensión, se debe cumplir con lo establecido en el Acuerdo 103 de 2010. Este compromiso es obligatorio y no es homologable.</t>
  </si>
  <si>
    <t>• Presentar a la Dirección de Investigación y Extensión de la Facultad (DIEF) en la que se suscribió el acta de inicio, un informe de avance a la mitad del periodo de ejecución y el informe final a la terminación del proyecto (Formulario FIN.51). Se debe incluir en el informe una descripción de las actividades de apropiación social del conocimiento y divulgación publica de la ciencia que se realizaron en el desarrollo del proyecto.
• Transcurrido el 50% del tiempo de ejecución del proyecto, la ejecución presupuestal deberá ser mínimo del 40% del valor total aprobado; en caso contrario, el equipo de investigación quedará inhabilitado para presentar propuestas a las convocatorias del Portafolio VIE del siguiente año. Nota 1: Para este caso, las prórrogas no se suman al tiempo de ejecución del proyecto inicialmente aprobado.
• Hasta un año después de finalizado el proyecto, deberá completar un total de 40 puntos en productos académicos de acuerdo con la Tabla en el documento Términos de referencia “Plan de fortalecimiento de Investigación y Extensión 2025”. Por lo menos dos (2) de los productos entregados debe corresponder a productos de generación de nuevo conocimiento relacionado con la temática del proyecto.  Para el caso de docentes de la Escuela de Artes, este requisito puede ser cumplido con los productos artísticos marcados con asterisco en la Tabla. En todos los productos obtenidos (artículos, ponencias, software, trabajos de grado, tesis, etc.), es necesario dar crédito a la Universidad Industrial de Santander, indicando claramente la filiación institucional y el código o título del proyecto financiado de donde deriva el producto. La filiación a la Universidad debe indicarse como “Universidad Industrial de Santander”, independientemente del idioma en que esté escrito. 
• Hasta un año después de finalizado el proyecto, se deberá someter una propuesta de investigación o extensión a una entidad externa, que ofrezca financiación. En el caso de propuesta de investigación, ésta debe estar debidamente avalada por el Comité Operativo de Investigación y Extensión. En el caso de las propuestas de extensión, se debe cumplir con lo establecido en el Acuerdo 103 de 2010. Este compromiso es obligatorio y no es homologable.</t>
  </si>
  <si>
    <t>• Presentar a la Dirección de Investigación y Extensión de la Facultad (DIEF) en la que se suscribió el acta de inicio, un informe de avance a la mitad del periodo de ejecución y el informe final a la terminación del proyecto (Formulario FIN.51). Se debe incluir en el informe una descripción de las actividades de apropiación social del conocimiento y divulgación publica de la ciencia que se realizaron en el desarrollo del proyecto.
• Transcurrido el 50% del tiempo de ejecución del proyecto, la ejecución presupuestal deberá ser mínimo del 40% del valor total aprobado; en caso contrario, el equipo de investigación quedará inhabilitado para presentar propuestas a las convocatorias del Portafolio VIE del siguiente año. Nota: Para este caso, las prórrogas no se suman al tiempo de ejecución del proyecto inicialmente aprobado.
• Hasta un año después de finalizado el proyecto, deberá completar un total de 95 puntos en productos académicos de acuerdo con la Tabla en el documento Términos de referencia “Plan de fortalecimiento de Investigación y Extensión 2025”. Por lo menos cuatro (4) de los productos entregados debe corresponder a productos de generación de nuevo conocimiento relacionado con la temática del proyecto.  Para el caso de docentes de la Escuela de Artes, este requisito puede ser cumplido con los productos artísticos marcados con asterisco en la Tabla. En todos los productos obtenidos (artículos, ponencias, software, trabajos de grado, tesis, etc.), es necesario dar crédito a la Universidad Industrial de Santander, indicando claramente la filiación institucional y el código o título del proyecto financiado de donde deriva el producto. La filiación a la Universidad debe indicarse como “Universidad Industrial de Santander”, independientemente del idioma en que esté escrito. 
• Hasta un año después de finalizado el proyecto, se deberá someter una propuesta de investigación o extensión a una entidad externa, que ofrezca financiación. En el caso de propuesta de investigación, ésta debe estar debidamente avalada por el Comité Operativo de Investigación y Extensión. En el caso de las propuestas de extensión, se debe cumplir con lo establecido en el Acuerdo 103 de 2010. Este compromiso es obligatorio y no es homologable.
• Entregar un informe que incluya las actividades y resultados obtenidos en el desarrollo del programa por parte del profesional en estancia posdoctoral, con los soportes respectivos. Este informe debe presentarse a la respectiva DIEF en la que se suscribió el programa, hasta un mes después de finalizada la estancia.</t>
  </si>
  <si>
    <t>• Presentar a la Dirección de Investigación y Extensión de la Facultad (DIEF) en la que se suscribió el acta de inicio, un informe de avance a la mitad del periodo de ejecución y el informe final a la terminación del proyecto (Formulario FIN.51). Se debe incluir en el informe una descripción de las actividades de apropiación social del conocimiento y divulgación publica de la ciencia que se realizaron en el desarrollo del proyecto.
• Transcurrido el 50% del tiempo de ejecución del proyecto, la ejecución presupuestal deberá ser mínimo del 40% del valor total aprobado; en caso contrario, el equipo de investigación quedará inhabilitado para presentar propuestas a las convocatorias del Portafolio VIE del siguiente año. Nota 1: Para este caso, las prórrogas no se suman al tiempo de ejecución del proyecto inicialmente aprobado.
• Hasta un año después de finalizado el proyecto, deberá completar un total de 10 puntos en productos académicos de acuerdo con la Tabla en el documento Términos de referencia “Plan de fortalecimiento de Investigación y Extensión 2025”. Por lo menos uno de los productos entregados debe corresponder a un producto de generación de nuevo conocimiento relacionado con la temática del proyecto.  Para el caso de docentes de la Escuela de Artes, este requisito puede ser cumplido con los productos artísticos marcados con asterisco en la Tabla. En todos los productos obtenidos (artículos, ponencias, software, trabajos de grado, tesis, etc.), es necesario dar crédito a la Universidad Industrial de Santander, indicando claramente la filiación institucional y el código o título del proyecto financiado de donde deriva el producto. La filiación a la Universidad debe indicarse como “Universidad Industrial de Santander”, independientemente del idioma en que esté escrito. 
• Adicionalmente, hasta un año después de finalizado el proyecto, se deberá someter una propuesta de investigación o extensión a una entidad externa, que ofrezca financiación. En el caso de propuesta de investigación, ésta debe estar debidamente avalada por el Comité Operativo de Investigación y Extensión. En el caso de las propuestas de extensión, se debe cumplir con lo establecido en el Acuerdo 103 de 2010. Este compromiso es obligatorio y no es homologable.</t>
  </si>
  <si>
    <t>• Presentar a la Dirección de Investigación y Extensión de la Facultad (DIEF) en la que se suscribió el acta de inicio, un informe de avance a la mitad del periodo de ejecución y el informe final a la terminación del proyecto (Formulario FIN.51). 
• Hasta un año después de finalizado el proyecto, deberá completar un total de 4 puntos en productos académicos de acuerdo con la Tabla en el documento Términos de referencia “Plan de fortalecimiento de Investigación y Extensión 2025”. Por lo menos uno de los productos entregados debe corresponder a un producto de generación de nuevo conocimiento relacionado con la temática del proyecto.  Para el caso de docentes de la Escuela de Artes, este requisito puede ser cumplido con los productos artísticos marcados con asterisco en la Tabla. En todos los productos obtenidos (artículos, ponencias, software, trabajos de grado, tesis, etc.), es necesario dar crédito a la Universidad Industrial de Santander, indicando claramente la filiación institucional y el código o título del proyecto financiado de donde deriva el producto. La filiación a la Universidad debe indicarse como “Universidad Industrial de Santander”, independientemente del idioma en que esté escrito.
• Hasta un año después de finalizado el proyecto, se deberá someter una propuesta de investigación o extensión a una entidad externa, que ofrezca financiación. En el caso de propuesta de investigación, ésta debe estar debidamente avalada por el Comité Operativo de Investigación y Extensión. En el caso de las propuestas de extensión, se debe cumplir con lo establecido en el Acuerdo 103 de 2010. Este compromiso es obligatorio y no es homologable.</t>
  </si>
  <si>
    <t>Presentar a la Dirección de Investigación y Extensión de la facultad a la que pertenece el director del proyecto, un informe de avance a la mitad del periodo de ejecución y el informe final a la terminación del proyecto (Formato FIN.51).
Al finalizar el proyecto de investigación, se deberá entregar uno (1) de los siguientes productos derivados de la investigación:
-	Versión final de un (1) artículo para ser sometido a una revista indexada u homologada.
-	Dos (2) ponencias nacionales.
-	Una (1) ponencia internacional.
En todos los productos obtenidos (artículos, ponencias, software, trabajos de grado, tesis, etc.), es necesario dar crédito a la Universidad Industrial de Santander, indicando claramente la filiación de los autores, el código o título del proyecto financiado de donde deriva el producto. La filiación a la Universidad debe indicarse como “Universidad Industrial de Santander”, independientemente del idioma en que esté escrito.
Dado que esta convocatoria se encuentra enmarcada en el periodo de prueba de los docentes de reciente vinculación, no se autorizarán prórrogas.</t>
  </si>
  <si>
    <t>febrero 12 de 2026</t>
  </si>
  <si>
    <t>Versión: 11</t>
  </si>
  <si>
    <t>Diagnóstico y caracterización: factores académicos, psicoemocionales y socioeconómicos que influyan en la deserción y/o permanencia estudiantil. </t>
  </si>
  <si>
    <t>Estrategias de intervención que promuevan la permanencia, el bienestar y el éxito educativo. </t>
  </si>
  <si>
    <t>Estrategias para la innovación en ambientes de aprendizaje para la inclusión y la permanencia </t>
  </si>
  <si>
    <t>Estrategias de evaluación formativa para la retención académica. </t>
  </si>
  <si>
    <t>Estrategias de acompañamiento docente para la gestión del aula y la permanencia estudiantil. </t>
  </si>
  <si>
    <t>Fortalecimiento del sentido de pertenencia institucional como estrategia de permanencia. </t>
  </si>
  <si>
    <t>Impacto de las competencias socioemocionales en la retención estudiantil. </t>
  </si>
  <si>
    <t>Uso de datos institucionales para la predicción y prevención de la deserción estudiantil. </t>
  </si>
  <si>
    <t>smlmv 2026</t>
  </si>
  <si>
    <t>smlmv 2027 (estimado)</t>
  </si>
  <si>
    <t>Vr. Hora ($) 2026</t>
  </si>
  <si>
    <t>Vr. Hora ($)
2027 estimado 6% incremento</t>
  </si>
  <si>
    <t>EFECTIVO 2027</t>
  </si>
  <si>
    <t>FINANCIACIÓN UIS 2027</t>
  </si>
  <si>
    <t>FINANCIACIÓN OTRA(S) INSTITUCIÓN(ES)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</si>
</sst>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_);_(&quot;$&quot;\ * \(#,##0\);_(&quot;$&quot;\ * &quot;-&quot;_);_(@_)"/>
    <numFmt numFmtId="165" formatCode="_(&quot;$&quot;\ * #,##0.00_);_(&quot;$&quot;\ * \(#,##0.00\);_(&quot;$&quot;\ * &quot;-&quot;??_);_(@_)"/>
    <numFmt numFmtId="166" formatCode="_(* #,##0.00_);_(* \(#,##0.00\);_(* &quot;-&quot;??_);_(@_)"/>
    <numFmt numFmtId="167" formatCode="_(* #,##0_);_(* \(#,##0\);_(* &quot;-&quot;??_);_(@_)"/>
    <numFmt numFmtId="168" formatCode="_(&quot;$&quot;\ * #,##0_);_(&quot;$&quot;\ * \(#,##0\);_(&quot;$&quot;\ * &quot;-&quot;??_);_(@_)"/>
    <numFmt numFmtId="169" formatCode="0.000%"/>
    <numFmt numFmtId="170" formatCode="0.0%"/>
  </numFmts>
  <fonts count="52" x14ac:knownFonts="1">
    <font>
      <sz val="11"/>
      <color theme="1"/>
      <name val="Calibri"/>
      <family val="2"/>
      <scheme val="minor"/>
    </font>
    <font>
      <sz val="11"/>
      <color theme="1"/>
      <name val="Calibri"/>
      <family val="2"/>
      <scheme val="minor"/>
    </font>
    <font>
      <sz val="11"/>
      <color rgb="FFFF0000"/>
      <name val="Calibri"/>
      <family val="2"/>
      <scheme val="minor"/>
    </font>
    <font>
      <b/>
      <sz val="10"/>
      <color theme="1"/>
      <name val="Arial"/>
      <family val="2"/>
    </font>
    <font>
      <b/>
      <sz val="11"/>
      <color theme="1"/>
      <name val="Arial"/>
      <family val="2"/>
    </font>
    <font>
      <sz val="11"/>
      <color theme="1"/>
      <name val="Arial"/>
      <family val="2"/>
    </font>
    <font>
      <b/>
      <sz val="12"/>
      <color theme="1"/>
      <name val="Arial"/>
      <family val="2"/>
    </font>
    <font>
      <b/>
      <sz val="10"/>
      <color indexed="8"/>
      <name val="Arial"/>
      <family val="2"/>
    </font>
    <font>
      <sz val="11"/>
      <color rgb="FFFF0000"/>
      <name val="Arial"/>
      <family val="2"/>
    </font>
    <font>
      <u/>
      <sz val="11"/>
      <color theme="10"/>
      <name val="Calibri"/>
      <family val="2"/>
    </font>
    <font>
      <sz val="11"/>
      <name val="Arial"/>
      <family val="2"/>
    </font>
    <font>
      <sz val="10"/>
      <color theme="1"/>
      <name val="Arial"/>
      <family val="2"/>
    </font>
    <font>
      <sz val="8"/>
      <color rgb="FFFF0000"/>
      <name val="Arial"/>
      <family val="2"/>
    </font>
    <font>
      <sz val="11"/>
      <color indexed="8"/>
      <name val="Arial"/>
      <family val="2"/>
    </font>
    <font>
      <sz val="8"/>
      <color indexed="8"/>
      <name val="Arial"/>
      <family val="2"/>
    </font>
    <font>
      <b/>
      <sz val="9"/>
      <color indexed="81"/>
      <name val="Tahoma"/>
      <family val="2"/>
    </font>
    <font>
      <sz val="9"/>
      <color indexed="81"/>
      <name val="Tahoma"/>
      <family val="2"/>
    </font>
    <font>
      <b/>
      <sz val="11"/>
      <name val="Arial"/>
      <family val="2"/>
    </font>
    <font>
      <sz val="11"/>
      <color rgb="FF333333"/>
      <name val="Arial"/>
      <family val="2"/>
    </font>
    <font>
      <sz val="11"/>
      <color theme="0"/>
      <name val="Arial"/>
      <family val="2"/>
    </font>
    <font>
      <sz val="12"/>
      <color theme="1"/>
      <name val="Arial"/>
      <family val="2"/>
    </font>
    <font>
      <b/>
      <u/>
      <sz val="11"/>
      <color theme="1"/>
      <name val="Arial"/>
      <family val="2"/>
    </font>
    <font>
      <b/>
      <u/>
      <sz val="11"/>
      <name val="Arial"/>
      <family val="2"/>
    </font>
    <font>
      <i/>
      <sz val="10"/>
      <color indexed="8"/>
      <name val="Arial"/>
      <family val="2"/>
    </font>
    <font>
      <sz val="10"/>
      <color indexed="8"/>
      <name val="Arial"/>
      <family val="2"/>
    </font>
    <font>
      <sz val="10"/>
      <name val="Arial"/>
      <family val="2"/>
    </font>
    <font>
      <sz val="11"/>
      <color rgb="FFC00000"/>
      <name val="Arial"/>
      <family val="2"/>
    </font>
    <font>
      <b/>
      <u/>
      <sz val="12"/>
      <color theme="1"/>
      <name val="Arial"/>
      <family val="2"/>
    </font>
    <font>
      <b/>
      <sz val="11"/>
      <color theme="9"/>
      <name val="Arial"/>
      <family val="2"/>
    </font>
    <font>
      <b/>
      <sz val="11"/>
      <color rgb="FF0070C0"/>
      <name val="Arial"/>
      <family val="2"/>
    </font>
    <font>
      <b/>
      <sz val="11"/>
      <color rgb="FF70AD47"/>
      <name val="Arial"/>
      <family val="2"/>
    </font>
    <font>
      <sz val="10"/>
      <name val="Calibri"/>
      <family val="2"/>
      <scheme val="minor"/>
    </font>
    <font>
      <u/>
      <sz val="10"/>
      <color theme="10"/>
      <name val="Calibri"/>
      <family val="2"/>
    </font>
    <font>
      <b/>
      <sz val="11"/>
      <color theme="1"/>
      <name val="Calibri"/>
      <family val="2"/>
      <scheme val="minor"/>
    </font>
    <font>
      <sz val="8"/>
      <name val="Calibri"/>
      <family val="2"/>
      <scheme val="minor"/>
    </font>
    <font>
      <sz val="11"/>
      <color theme="1"/>
      <name val="Humanst521 BT"/>
      <family val="2"/>
    </font>
    <font>
      <sz val="9"/>
      <color theme="1"/>
      <name val="Arial"/>
      <family val="2"/>
    </font>
    <font>
      <sz val="10"/>
      <color rgb="FF000000"/>
      <name val="Arial"/>
      <family val="2"/>
    </font>
    <font>
      <i/>
      <sz val="10"/>
      <color rgb="FF000000"/>
      <name val="Arial"/>
      <family val="2"/>
    </font>
    <font>
      <b/>
      <sz val="10"/>
      <color rgb="FF000000"/>
      <name val="Arial"/>
      <family val="2"/>
    </font>
    <font>
      <b/>
      <i/>
      <sz val="10"/>
      <color rgb="FF000000"/>
      <name val="Arial"/>
      <family val="2"/>
    </font>
    <font>
      <b/>
      <sz val="11"/>
      <color rgb="FF242424"/>
      <name val="Arial"/>
      <family val="2"/>
    </font>
    <font>
      <sz val="11"/>
      <color rgb="FF70AD47"/>
      <name val="Arial"/>
      <family val="2"/>
    </font>
    <font>
      <b/>
      <sz val="9"/>
      <color rgb="FF000000"/>
      <name val="Tahoma"/>
      <family val="2"/>
    </font>
    <font>
      <sz val="9"/>
      <color rgb="FF000000"/>
      <name val="Tahoma"/>
      <family val="2"/>
    </font>
    <font>
      <b/>
      <sz val="8"/>
      <color rgb="FF000000"/>
      <name val="Tahoma"/>
      <family val="2"/>
    </font>
    <font>
      <sz val="8"/>
      <color rgb="FF000000"/>
      <name val="Tahoma"/>
      <family val="2"/>
    </font>
    <font>
      <sz val="12"/>
      <name val="Humanst521 BT"/>
      <family val="2"/>
    </font>
    <font>
      <b/>
      <sz val="11"/>
      <name val="Humanst521 BT"/>
      <family val="2"/>
    </font>
    <font>
      <sz val="11"/>
      <name val="Humanst521 BT"/>
      <family val="2"/>
    </font>
    <font>
      <b/>
      <sz val="11"/>
      <color theme="0"/>
      <name val="Humanst521 BT"/>
      <family val="2"/>
    </font>
    <font>
      <sz val="11"/>
      <color theme="0"/>
      <name val="Humanst521 BT"/>
      <family val="2"/>
    </font>
  </fonts>
  <fills count="12">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rgb="FFC0C0C0"/>
        <bgColor indexed="64"/>
      </patternFill>
    </fill>
    <fill>
      <patternFill patternType="solid">
        <fgColor theme="2"/>
        <bgColor indexed="64"/>
      </patternFill>
    </fill>
    <fill>
      <patternFill patternType="solid">
        <fgColor rgb="FFECF5E7"/>
        <bgColor indexed="64"/>
      </patternFill>
    </fill>
    <fill>
      <patternFill patternType="solid">
        <fgColor theme="0" tint="-0.249977111117893"/>
        <bgColor indexed="64"/>
      </patternFill>
    </fill>
    <fill>
      <patternFill patternType="solid">
        <fgColor rgb="FFD9ECFF"/>
        <bgColor indexed="64"/>
      </patternFill>
    </fill>
    <fill>
      <patternFill patternType="solid">
        <fgColor theme="0" tint="-4.9989318521683403E-2"/>
        <bgColor indexed="64"/>
      </patternFill>
    </fill>
    <fill>
      <patternFill patternType="solid">
        <fgColor rgb="FFFFFFCC"/>
        <bgColor indexed="64"/>
      </patternFill>
    </fill>
  </fills>
  <borders count="193">
    <border>
      <left/>
      <right/>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double">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double">
        <color indexed="64"/>
      </left>
      <right style="thin">
        <color indexed="64"/>
      </right>
      <top/>
      <bottom style="thin">
        <color indexed="64"/>
      </bottom>
      <diagonal/>
    </border>
    <border>
      <left style="thin">
        <color indexed="64"/>
      </left>
      <right style="double">
        <color indexed="64"/>
      </right>
      <top style="hair">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style="double">
        <color indexed="64"/>
      </left>
      <right style="thin">
        <color indexed="64"/>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style="double">
        <color indexed="64"/>
      </left>
      <right/>
      <top/>
      <bottom style="hair">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style="thin">
        <color indexed="64"/>
      </left>
      <right style="double">
        <color indexed="64"/>
      </right>
      <top/>
      <bottom/>
      <diagonal/>
    </border>
    <border>
      <left style="thin">
        <color indexed="64"/>
      </left>
      <right/>
      <top style="hair">
        <color indexed="64"/>
      </top>
      <bottom style="hair">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right style="double">
        <color indexed="64"/>
      </right>
      <top/>
      <bottom/>
      <diagonal/>
    </border>
    <border>
      <left style="thin">
        <color indexed="64"/>
      </left>
      <right/>
      <top style="hair">
        <color indexed="64"/>
      </top>
      <bottom style="dotted">
        <color rgb="FF000000"/>
      </bottom>
      <diagonal/>
    </border>
    <border>
      <left/>
      <right/>
      <top style="hair">
        <color indexed="64"/>
      </top>
      <bottom style="dotted">
        <color rgb="FF000000"/>
      </bottom>
      <diagonal/>
    </border>
    <border>
      <left/>
      <right style="double">
        <color indexed="64"/>
      </right>
      <top style="hair">
        <color indexed="64"/>
      </top>
      <bottom style="dotted">
        <color rgb="FF000000"/>
      </bottom>
      <diagonal/>
    </border>
    <border>
      <left style="double">
        <color indexed="64"/>
      </left>
      <right style="thin">
        <color indexed="64"/>
      </right>
      <top style="hair">
        <color indexed="64"/>
      </top>
      <bottom style="thin">
        <color rgb="FF000000"/>
      </bottom>
      <diagonal/>
    </border>
    <border>
      <left style="thin">
        <color indexed="64"/>
      </left>
      <right/>
      <top style="thin">
        <color indexed="64"/>
      </top>
      <bottom style="dotted">
        <color rgb="FF000000"/>
      </bottom>
      <diagonal/>
    </border>
    <border>
      <left/>
      <right/>
      <top style="thin">
        <color indexed="64"/>
      </top>
      <bottom style="dotted">
        <color rgb="FF000000"/>
      </bottom>
      <diagonal/>
    </border>
    <border>
      <left style="thin">
        <color indexed="64"/>
      </left>
      <right/>
      <top style="thin">
        <color indexed="64"/>
      </top>
      <bottom style="double">
        <color indexed="64"/>
      </bottom>
      <diagonal/>
    </border>
    <border>
      <left style="thin">
        <color rgb="FF000000"/>
      </left>
      <right/>
      <top style="thin">
        <color rgb="FF000000"/>
      </top>
      <bottom style="thin">
        <color rgb="FF000000"/>
      </bottom>
      <diagonal/>
    </border>
    <border>
      <left/>
      <right/>
      <top/>
      <bottom style="double">
        <color rgb="FF000000"/>
      </bottom>
      <diagonal/>
    </border>
    <border>
      <left/>
      <right style="double">
        <color indexed="64"/>
      </right>
      <top/>
      <bottom style="double">
        <color rgb="FF000000"/>
      </bottom>
      <diagonal/>
    </border>
    <border>
      <left style="double">
        <color rgb="FF000000"/>
      </left>
      <right/>
      <top/>
      <bottom style="double">
        <color rgb="FF000000"/>
      </bottom>
      <diagonal/>
    </border>
    <border>
      <left style="medium">
        <color rgb="FF000000"/>
      </left>
      <right/>
      <top style="medium">
        <color rgb="FF000000"/>
      </top>
      <bottom style="thin">
        <color indexed="64"/>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indexed="64"/>
      </bottom>
      <diagonal/>
    </border>
    <border>
      <left style="thin">
        <color indexed="64"/>
      </left>
      <right/>
      <top style="medium">
        <color rgb="FF000000"/>
      </top>
      <bottom style="thin">
        <color indexed="64"/>
      </bottom>
      <diagonal/>
    </border>
    <border>
      <left style="thin">
        <color rgb="FF000000"/>
      </left>
      <right style="medium">
        <color rgb="FF000000"/>
      </right>
      <top style="medium">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indexed="64"/>
      </top>
      <bottom style="hair">
        <color indexed="64"/>
      </bottom>
      <diagonal/>
    </border>
    <border>
      <left/>
      <right style="thin">
        <color indexed="64"/>
      </right>
      <top style="hair">
        <color indexed="64"/>
      </top>
      <bottom style="dotted">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bottom style="medium">
        <color rgb="FF000000"/>
      </bottom>
      <diagonal/>
    </border>
    <border>
      <left/>
      <right style="thin">
        <color rgb="FF000000"/>
      </right>
      <top/>
      <bottom style="medium">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indexed="64"/>
      </left>
      <right/>
      <top/>
      <bottom style="dotted">
        <color rgb="FF000000"/>
      </bottom>
      <diagonal/>
    </border>
    <border>
      <left/>
      <right/>
      <top/>
      <bottom style="dotted">
        <color rgb="FF000000"/>
      </bottom>
      <diagonal/>
    </border>
    <border>
      <left style="thin">
        <color indexed="64"/>
      </left>
      <right style="thin">
        <color indexed="64"/>
      </right>
      <top style="thin">
        <color rgb="FF000000"/>
      </top>
      <bottom style="hair">
        <color indexed="64"/>
      </bottom>
      <diagonal/>
    </border>
    <border>
      <left style="thin">
        <color indexed="64"/>
      </left>
      <right/>
      <top style="thin">
        <color rgb="FF000000"/>
      </top>
      <bottom style="hair">
        <color indexed="64"/>
      </bottom>
      <diagonal/>
    </border>
    <border>
      <left style="thin">
        <color indexed="64"/>
      </left>
      <right style="double">
        <color indexed="64"/>
      </right>
      <top style="thin">
        <color rgb="FF000000"/>
      </top>
      <bottom style="hair">
        <color indexed="64"/>
      </bottom>
      <diagonal/>
    </border>
    <border>
      <left style="thin">
        <color rgb="FF000000"/>
      </left>
      <right/>
      <top style="dotted">
        <color rgb="FF000000"/>
      </top>
      <bottom/>
      <diagonal/>
    </border>
    <border>
      <left style="thin">
        <color rgb="FF000000"/>
      </left>
      <right/>
      <top style="thin">
        <color rgb="FF000000"/>
      </top>
      <bottom style="dotted">
        <color rgb="FF000000"/>
      </bottom>
      <diagonal/>
    </border>
    <border>
      <left/>
      <right style="thin">
        <color rgb="FF000000"/>
      </right>
      <top style="thin">
        <color rgb="FF000000"/>
      </top>
      <bottom style="dotted">
        <color rgb="FF000000"/>
      </bottom>
      <diagonal/>
    </border>
    <border>
      <left/>
      <right style="thin">
        <color rgb="FF000000"/>
      </right>
      <top style="dotted">
        <color rgb="FF000000"/>
      </top>
      <bottom/>
      <diagonal/>
    </border>
    <border>
      <left style="thin">
        <color rgb="FF000000"/>
      </left>
      <right/>
      <top style="hair">
        <color indexed="64"/>
      </top>
      <bottom style="dotted">
        <color rgb="FF000000"/>
      </bottom>
      <diagonal/>
    </border>
    <border>
      <left/>
      <right style="double">
        <color indexed="64"/>
      </right>
      <top style="dotted">
        <color rgb="FF000000"/>
      </top>
      <bottom/>
      <diagonal/>
    </border>
    <border>
      <left/>
      <right/>
      <top style="thin">
        <color rgb="FF000000"/>
      </top>
      <bottom style="hair">
        <color indexed="64"/>
      </bottom>
      <diagonal/>
    </border>
    <border>
      <left/>
      <right style="double">
        <color indexed="64"/>
      </right>
      <top style="thin">
        <color rgb="FF000000"/>
      </top>
      <bottom style="hair">
        <color indexed="64"/>
      </bottom>
      <diagonal/>
    </border>
    <border>
      <left style="thin">
        <color indexed="64"/>
      </left>
      <right/>
      <top style="double">
        <color rgb="FF000000"/>
      </top>
      <bottom style="thin">
        <color indexed="64"/>
      </bottom>
      <diagonal/>
    </border>
    <border>
      <left/>
      <right/>
      <top style="double">
        <color rgb="FF000000"/>
      </top>
      <bottom style="thin">
        <color indexed="64"/>
      </bottom>
      <diagonal/>
    </border>
    <border>
      <left/>
      <right style="thin">
        <color indexed="64"/>
      </right>
      <top style="double">
        <color rgb="FF000000"/>
      </top>
      <bottom style="thin">
        <color indexed="64"/>
      </bottom>
      <diagonal/>
    </border>
    <border>
      <left/>
      <right style="double">
        <color rgb="FF000000"/>
      </right>
      <top style="double">
        <color rgb="FF000000"/>
      </top>
      <bottom style="thin">
        <color indexed="64"/>
      </bottom>
      <diagonal/>
    </border>
    <border>
      <left/>
      <right style="double">
        <color rgb="FF000000"/>
      </right>
      <top style="thin">
        <color indexed="64"/>
      </top>
      <bottom style="double">
        <color indexed="64"/>
      </bottom>
      <diagonal/>
    </border>
    <border>
      <left style="double">
        <color rgb="FF000000"/>
      </left>
      <right style="thin">
        <color indexed="64"/>
      </right>
      <top style="double">
        <color rgb="FF000000"/>
      </top>
      <bottom/>
      <diagonal/>
    </border>
    <border>
      <left style="double">
        <color rgb="FF000000"/>
      </left>
      <right style="thin">
        <color indexed="64"/>
      </right>
      <top/>
      <bottom style="double">
        <color indexed="64"/>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0" fontId="9" fillId="0" borderId="0" applyNumberFormat="0" applyFill="0" applyBorder="0" applyAlignment="0" applyProtection="0">
      <alignment vertical="top"/>
      <protection locked="0"/>
    </xf>
    <xf numFmtId="9" fontId="1" fillId="0" borderId="0" applyFont="0" applyFill="0" applyBorder="0" applyAlignment="0" applyProtection="0"/>
  </cellStyleXfs>
  <cellXfs count="571">
    <xf numFmtId="0" fontId="0" fillId="0" borderId="0" xfId="0"/>
    <xf numFmtId="0" fontId="5" fillId="0" borderId="0" xfId="0" applyFont="1" applyAlignment="1">
      <alignment vertical="center"/>
    </xf>
    <xf numFmtId="0" fontId="5" fillId="0" borderId="12" xfId="0" applyFont="1" applyBorder="1" applyAlignment="1">
      <alignment vertical="center"/>
    </xf>
    <xf numFmtId="0" fontId="0" fillId="0" borderId="0" xfId="0" applyAlignment="1">
      <alignment vertical="center"/>
    </xf>
    <xf numFmtId="0" fontId="5" fillId="0" borderId="0" xfId="0" applyFont="1" applyAlignment="1">
      <alignment horizontal="center" vertical="center"/>
    </xf>
    <xf numFmtId="0" fontId="5" fillId="0" borderId="0" xfId="0" applyFont="1" applyAlignment="1">
      <alignment vertical="center" wrapText="1"/>
    </xf>
    <xf numFmtId="0" fontId="2" fillId="0" borderId="0" xfId="0" applyFont="1"/>
    <xf numFmtId="0" fontId="11"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horizontal="left" vertical="center" wrapText="1"/>
    </xf>
    <xf numFmtId="0" fontId="3" fillId="0" borderId="0" xfId="0" applyFont="1" applyAlignment="1">
      <alignment horizontal="center" vertical="top"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10" fillId="0" borderId="0" xfId="0" applyFont="1"/>
    <xf numFmtId="0" fontId="5" fillId="0" borderId="0" xfId="0" applyFont="1"/>
    <xf numFmtId="0" fontId="10" fillId="0" borderId="0" xfId="0" applyFont="1" applyAlignment="1">
      <alignment horizontal="left" vertical="center" wrapText="1"/>
    </xf>
    <xf numFmtId="0" fontId="10" fillId="0" borderId="0" xfId="0" applyFont="1" applyAlignment="1">
      <alignment horizontal="left" vertical="center"/>
    </xf>
    <xf numFmtId="0" fontId="11" fillId="0" borderId="0" xfId="0" applyFont="1" applyAlignment="1" applyProtection="1">
      <alignment vertical="center" wrapText="1"/>
      <protection locked="0"/>
    </xf>
    <xf numFmtId="0" fontId="19" fillId="0" borderId="0" xfId="0" applyFont="1" applyAlignment="1">
      <alignment vertical="center"/>
    </xf>
    <xf numFmtId="0" fontId="17" fillId="0" borderId="0" xfId="0" applyFont="1" applyAlignment="1">
      <alignment vertical="center" wrapText="1"/>
    </xf>
    <xf numFmtId="0" fontId="17" fillId="0" borderId="22" xfId="0" applyFont="1" applyBorder="1" applyAlignment="1">
      <alignment horizontal="center" vertical="center" wrapText="1"/>
    </xf>
    <xf numFmtId="0" fontId="17" fillId="0" borderId="26" xfId="0" applyFont="1" applyBorder="1" applyAlignment="1">
      <alignment horizontal="center" vertical="center" wrapText="1"/>
    </xf>
    <xf numFmtId="168" fontId="5" fillId="0" borderId="0" xfId="2" applyNumberFormat="1"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wrapText="1"/>
    </xf>
    <xf numFmtId="167" fontId="17" fillId="0" borderId="68" xfId="1" applyNumberFormat="1" applyFont="1" applyFill="1" applyBorder="1" applyAlignment="1" applyProtection="1">
      <alignment horizontal="center" vertical="center" wrapText="1"/>
      <protection hidden="1"/>
    </xf>
    <xf numFmtId="167" fontId="17" fillId="0" borderId="76" xfId="1" applyNumberFormat="1" applyFont="1" applyFill="1" applyBorder="1" applyAlignment="1" applyProtection="1">
      <alignment horizontal="center" vertical="center" wrapText="1"/>
      <protection hidden="1"/>
    </xf>
    <xf numFmtId="167" fontId="17" fillId="0" borderId="60" xfId="1" applyNumberFormat="1" applyFont="1" applyFill="1" applyBorder="1" applyAlignment="1" applyProtection="1">
      <alignment horizontal="center" vertical="center" wrapText="1"/>
      <protection hidden="1"/>
    </xf>
    <xf numFmtId="0" fontId="5" fillId="3" borderId="53"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4" borderId="17" xfId="0" applyFont="1" applyFill="1" applyBorder="1" applyAlignment="1" applyProtection="1">
      <alignment horizontal="left" vertical="center" wrapText="1"/>
      <protection locked="0"/>
    </xf>
    <xf numFmtId="0" fontId="5" fillId="4" borderId="18" xfId="0" applyFont="1" applyFill="1" applyBorder="1" applyAlignment="1" applyProtection="1">
      <alignment horizontal="left" vertical="center" wrapText="1"/>
      <protection locked="0"/>
    </xf>
    <xf numFmtId="0" fontId="5" fillId="4" borderId="17" xfId="0" applyFont="1" applyFill="1" applyBorder="1" applyAlignment="1" applyProtection="1">
      <alignment horizontal="center" vertical="center" wrapText="1"/>
      <protection locked="0"/>
    </xf>
    <xf numFmtId="0" fontId="5" fillId="3" borderId="8" xfId="0" applyFont="1" applyFill="1" applyBorder="1" applyAlignment="1">
      <alignment horizontal="center" vertical="center" wrapText="1"/>
    </xf>
    <xf numFmtId="0" fontId="5" fillId="0" borderId="16" xfId="0" applyFont="1" applyBorder="1" applyAlignment="1" applyProtection="1">
      <alignment horizontal="center" vertical="center" wrapText="1"/>
      <protection locked="0"/>
    </xf>
    <xf numFmtId="0" fontId="5" fillId="4" borderId="16" xfId="0" applyFont="1" applyFill="1" applyBorder="1" applyAlignment="1" applyProtection="1">
      <alignment horizontal="left" vertical="center" wrapText="1"/>
      <protection locked="0"/>
    </xf>
    <xf numFmtId="0" fontId="5" fillId="4" borderId="19" xfId="0" applyFont="1" applyFill="1" applyBorder="1" applyAlignment="1" applyProtection="1">
      <alignment horizontal="left" vertical="center" wrapText="1"/>
      <protection locked="0"/>
    </xf>
    <xf numFmtId="0" fontId="5" fillId="4" borderId="16" xfId="0" applyFont="1" applyFill="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0" fillId="4" borderId="41" xfId="0" applyFont="1" applyFill="1" applyBorder="1" applyAlignment="1" applyProtection="1">
      <alignment horizontal="left" vertical="center" wrapText="1"/>
      <protection locked="0"/>
    </xf>
    <xf numFmtId="0" fontId="10" fillId="4" borderId="43" xfId="0" applyFont="1" applyFill="1" applyBorder="1" applyAlignment="1" applyProtection="1">
      <alignment horizontal="left" vertical="center" wrapText="1"/>
      <protection locked="0"/>
    </xf>
    <xf numFmtId="0" fontId="10" fillId="4" borderId="41" xfId="0" applyFont="1" applyFill="1" applyBorder="1" applyAlignment="1" applyProtection="1">
      <alignment horizontal="center" vertical="center" wrapText="1"/>
      <protection locked="0"/>
    </xf>
    <xf numFmtId="0" fontId="10" fillId="0" borderId="0" xfId="0" applyFont="1" applyAlignment="1">
      <alignment horizontal="center" vertical="center" wrapText="1"/>
    </xf>
    <xf numFmtId="0" fontId="5" fillId="0" borderId="79" xfId="0" applyFont="1" applyBorder="1" applyAlignment="1">
      <alignment vertical="center" wrapText="1"/>
    </xf>
    <xf numFmtId="0" fontId="5" fillId="0" borderId="50" xfId="0" applyFont="1" applyBorder="1" applyAlignment="1">
      <alignment vertical="center" wrapText="1"/>
    </xf>
    <xf numFmtId="0" fontId="5" fillId="0" borderId="51" xfId="0" applyFont="1" applyBorder="1" applyAlignment="1">
      <alignment vertical="center" wrapText="1"/>
    </xf>
    <xf numFmtId="168" fontId="5" fillId="0" borderId="10" xfId="0" applyNumberFormat="1" applyFont="1" applyBorder="1" applyAlignment="1">
      <alignment horizontal="center" vertical="center" wrapText="1"/>
    </xf>
    <xf numFmtId="168" fontId="20" fillId="0" borderId="45" xfId="2" applyNumberFormat="1" applyFont="1" applyFill="1" applyBorder="1" applyAlignment="1">
      <alignment horizontal="left" vertical="center" wrapText="1"/>
    </xf>
    <xf numFmtId="168" fontId="20" fillId="0" borderId="11" xfId="2" applyNumberFormat="1" applyFont="1" applyFill="1" applyBorder="1" applyAlignment="1">
      <alignment horizontal="left" vertical="center" wrapText="1"/>
    </xf>
    <xf numFmtId="168" fontId="20" fillId="0" borderId="15" xfId="2" applyNumberFormat="1" applyFont="1" applyFill="1" applyBorder="1" applyAlignment="1">
      <alignment horizontal="left" vertical="center" wrapText="1"/>
    </xf>
    <xf numFmtId="0" fontId="10" fillId="0" borderId="0" xfId="0" applyFont="1" applyAlignment="1">
      <alignment vertical="center"/>
    </xf>
    <xf numFmtId="0" fontId="5" fillId="0" borderId="8" xfId="0" applyFont="1" applyBorder="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horizontal="left" vertical="center"/>
    </xf>
    <xf numFmtId="168" fontId="10" fillId="0" borderId="46" xfId="2" applyNumberFormat="1" applyFont="1" applyFill="1" applyBorder="1" applyAlignment="1" applyProtection="1">
      <alignment horizontal="center" vertical="center" wrapText="1"/>
      <protection hidden="1"/>
    </xf>
    <xf numFmtId="168" fontId="10" fillId="0" borderId="14" xfId="2" applyNumberFormat="1" applyFont="1" applyFill="1" applyBorder="1" applyAlignment="1" applyProtection="1">
      <alignment horizontal="center" vertical="center" wrapText="1"/>
      <protection hidden="1"/>
    </xf>
    <xf numFmtId="0" fontId="5" fillId="0" borderId="53" xfId="0" applyFont="1" applyBorder="1" applyAlignment="1" applyProtection="1">
      <alignment horizontal="center" vertical="center" wrapText="1"/>
      <protection locked="0"/>
    </xf>
    <xf numFmtId="168" fontId="5" fillId="0" borderId="0" xfId="0" applyNumberFormat="1" applyFont="1" applyAlignment="1">
      <alignment vertical="center"/>
    </xf>
    <xf numFmtId="0" fontId="5" fillId="0" borderId="8" xfId="0" applyFont="1" applyBorder="1" applyAlignment="1" applyProtection="1">
      <alignment horizontal="center" vertical="center" wrapText="1"/>
      <protection locked="0"/>
    </xf>
    <xf numFmtId="0" fontId="5" fillId="0" borderId="0" xfId="0" applyFont="1" applyAlignment="1">
      <alignment wrapText="1"/>
    </xf>
    <xf numFmtId="0" fontId="5" fillId="0" borderId="53" xfId="0" applyFont="1" applyBorder="1" applyAlignment="1">
      <alignment horizontal="center" vertical="center" wrapText="1"/>
    </xf>
    <xf numFmtId="0" fontId="5" fillId="0" borderId="20" xfId="0" applyFont="1" applyBorder="1" applyAlignment="1">
      <alignment horizontal="center" vertical="center" wrapText="1"/>
    </xf>
    <xf numFmtId="165" fontId="5" fillId="0" borderId="0" xfId="2" applyFont="1" applyAlignment="1">
      <alignment horizontal="center" vertical="center"/>
    </xf>
    <xf numFmtId="0" fontId="5" fillId="0" borderId="68" xfId="0" applyFont="1" applyBorder="1" applyAlignment="1">
      <alignment vertical="center"/>
    </xf>
    <xf numFmtId="168" fontId="5" fillId="0" borderId="0" xfId="2" applyNumberFormat="1" applyFont="1" applyBorder="1" applyAlignment="1">
      <alignment horizontal="center" vertical="center"/>
    </xf>
    <xf numFmtId="165" fontId="5" fillId="0" borderId="0" xfId="2" applyFont="1" applyBorder="1" applyAlignment="1">
      <alignment horizontal="center" vertical="center"/>
    </xf>
    <xf numFmtId="168" fontId="4" fillId="0" borderId="0" xfId="2" applyNumberFormat="1" applyFont="1" applyFill="1" applyBorder="1" applyAlignment="1">
      <alignment horizontal="center" vertical="center"/>
    </xf>
    <xf numFmtId="165" fontId="4" fillId="0" borderId="0" xfId="2"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13" fillId="0" borderId="0" xfId="0" applyFont="1" applyAlignment="1">
      <alignment vertical="center" wrapText="1"/>
    </xf>
    <xf numFmtId="0" fontId="4" fillId="0" borderId="12" xfId="0" applyFont="1" applyBorder="1" applyAlignment="1">
      <alignment horizontal="center" vertical="center" wrapText="1"/>
    </xf>
    <xf numFmtId="0" fontId="5" fillId="0" borderId="13"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89" xfId="0" applyFont="1" applyBorder="1" applyAlignment="1" applyProtection="1">
      <alignment horizontal="left" vertical="center" wrapText="1"/>
      <protection locked="0"/>
    </xf>
    <xf numFmtId="168" fontId="5" fillId="0" borderId="17" xfId="2" applyNumberFormat="1" applyFont="1" applyFill="1" applyBorder="1" applyAlignment="1" applyProtection="1">
      <alignment horizontal="center" vertical="center"/>
      <protection locked="0"/>
    </xf>
    <xf numFmtId="168" fontId="5" fillId="0" borderId="16" xfId="2" applyNumberFormat="1" applyFont="1" applyFill="1" applyBorder="1" applyAlignment="1" applyProtection="1">
      <alignment horizontal="center" vertical="center"/>
      <protection locked="0"/>
    </xf>
    <xf numFmtId="168" fontId="5" fillId="0" borderId="41" xfId="2" applyNumberFormat="1" applyFont="1" applyFill="1" applyBorder="1" applyAlignment="1" applyProtection="1">
      <alignment horizontal="center" vertical="center"/>
      <protection locked="0"/>
    </xf>
    <xf numFmtId="0" fontId="5" fillId="0" borderId="40" xfId="0" applyFont="1" applyBorder="1" applyAlignment="1" applyProtection="1">
      <alignment horizontal="left" vertical="center" wrapText="1"/>
      <protection locked="0"/>
    </xf>
    <xf numFmtId="168" fontId="5" fillId="0" borderId="40" xfId="2" applyNumberFormat="1" applyFont="1" applyFill="1" applyBorder="1" applyAlignment="1" applyProtection="1">
      <alignment horizontal="left" vertical="center" wrapText="1"/>
      <protection locked="0"/>
    </xf>
    <xf numFmtId="0" fontId="5" fillId="0" borderId="84" xfId="0" applyFont="1" applyBorder="1" applyAlignment="1" applyProtection="1">
      <alignment horizontal="left" vertical="center" wrapText="1"/>
      <protection locked="0"/>
    </xf>
    <xf numFmtId="168" fontId="5" fillId="0" borderId="84" xfId="2" applyNumberFormat="1" applyFont="1" applyFill="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168" fontId="5" fillId="0" borderId="21" xfId="2" applyNumberFormat="1" applyFont="1" applyFill="1" applyBorder="1" applyAlignment="1" applyProtection="1">
      <alignment horizontal="left" vertical="center" wrapText="1"/>
      <protection locked="0"/>
    </xf>
    <xf numFmtId="0" fontId="10" fillId="0" borderId="5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10" fillId="0" borderId="89" xfId="0" applyFont="1" applyBorder="1" applyAlignment="1" applyProtection="1">
      <alignment horizontal="left" vertical="center" wrapText="1"/>
      <protection locked="0"/>
    </xf>
    <xf numFmtId="168" fontId="10" fillId="0" borderId="17" xfId="2" applyNumberFormat="1" applyFont="1" applyFill="1" applyBorder="1" applyAlignment="1" applyProtection="1">
      <alignment horizontal="center" vertical="center"/>
      <protection locked="0"/>
    </xf>
    <xf numFmtId="168" fontId="10" fillId="0" borderId="16" xfId="2" applyNumberFormat="1" applyFont="1" applyFill="1" applyBorder="1" applyAlignment="1" applyProtection="1">
      <alignment horizontal="center" vertical="center"/>
      <protection locked="0"/>
    </xf>
    <xf numFmtId="168" fontId="10" fillId="0" borderId="41" xfId="2" applyNumberFormat="1" applyFont="1" applyFill="1" applyBorder="1" applyAlignment="1" applyProtection="1">
      <alignment horizontal="center" vertical="center"/>
      <protection locked="0"/>
    </xf>
    <xf numFmtId="168" fontId="10" fillId="0" borderId="17" xfId="2" applyNumberFormat="1" applyFont="1" applyFill="1" applyBorder="1" applyAlignment="1">
      <alignment horizontal="center" vertical="center"/>
    </xf>
    <xf numFmtId="168" fontId="10" fillId="0" borderId="17" xfId="2" applyNumberFormat="1" applyFont="1" applyFill="1" applyBorder="1" applyAlignment="1" applyProtection="1">
      <alignment horizontal="center" vertical="center"/>
    </xf>
    <xf numFmtId="0" fontId="4" fillId="0" borderId="87" xfId="0" applyFont="1" applyBorder="1" applyAlignment="1">
      <alignment horizontal="right" vertical="center" wrapText="1"/>
    </xf>
    <xf numFmtId="0" fontId="17" fillId="9" borderId="14" xfId="0" applyFont="1" applyFill="1" applyBorder="1" applyAlignment="1">
      <alignment horizontal="center" vertical="center" wrapText="1"/>
    </xf>
    <xf numFmtId="0" fontId="18" fillId="0" borderId="14" xfId="0" applyFont="1" applyBorder="1" applyAlignment="1">
      <alignment horizontal="center" vertical="center" wrapText="1"/>
    </xf>
    <xf numFmtId="169" fontId="18" fillId="0" borderId="14" xfId="0" applyNumberFormat="1"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lignment vertical="center" wrapText="1"/>
    </xf>
    <xf numFmtId="0" fontId="4" fillId="9" borderId="14" xfId="0" applyFont="1" applyFill="1" applyBorder="1" applyAlignment="1">
      <alignment horizontal="center" vertical="center" wrapText="1"/>
    </xf>
    <xf numFmtId="167" fontId="5" fillId="0" borderId="0" xfId="1" applyNumberFormat="1" applyFont="1" applyFill="1" applyBorder="1" applyAlignment="1">
      <alignment horizontal="center" vertical="center" wrapText="1"/>
    </xf>
    <xf numFmtId="0" fontId="10" fillId="0" borderId="0" xfId="0" applyFont="1" applyAlignment="1">
      <alignment vertical="center" wrapText="1"/>
    </xf>
    <xf numFmtId="167" fontId="5" fillId="0" borderId="0" xfId="1" applyNumberFormat="1" applyFont="1" applyFill="1" applyBorder="1" applyAlignment="1">
      <alignment horizontal="right" vertical="center" wrapText="1"/>
    </xf>
    <xf numFmtId="0" fontId="5" fillId="7" borderId="17" xfId="0" applyFont="1" applyFill="1" applyBorder="1" applyAlignment="1">
      <alignment horizontal="center" vertical="center" wrapText="1"/>
    </xf>
    <xf numFmtId="0" fontId="5" fillId="7" borderId="37" xfId="0" applyFont="1" applyFill="1" applyBorder="1" applyAlignment="1">
      <alignment horizontal="center" vertical="center" wrapText="1"/>
    </xf>
    <xf numFmtId="168" fontId="5" fillId="7" borderId="17" xfId="2" applyNumberFormat="1" applyFont="1" applyFill="1" applyBorder="1" applyAlignment="1">
      <alignment horizontal="center" vertical="center" wrapText="1"/>
    </xf>
    <xf numFmtId="0" fontId="5" fillId="7" borderId="17" xfId="0" applyFont="1" applyFill="1" applyBorder="1" applyAlignment="1" applyProtection="1">
      <alignment horizontal="center" vertical="center" wrapText="1"/>
      <protection locked="0"/>
    </xf>
    <xf numFmtId="0" fontId="5" fillId="7" borderId="16" xfId="0" applyFont="1" applyFill="1" applyBorder="1" applyAlignment="1" applyProtection="1">
      <alignment horizontal="center" vertical="center" wrapText="1"/>
      <protection locked="0"/>
    </xf>
    <xf numFmtId="0" fontId="10" fillId="7" borderId="41" xfId="0" applyFont="1" applyFill="1" applyBorder="1" applyAlignment="1" applyProtection="1">
      <alignment horizontal="center" vertical="center" wrapText="1"/>
      <protection locked="0"/>
    </xf>
    <xf numFmtId="0" fontId="5" fillId="0" borderId="36" xfId="0" applyFont="1" applyBorder="1" applyAlignment="1">
      <alignment vertical="center" wrapText="1"/>
    </xf>
    <xf numFmtId="0" fontId="5" fillId="0" borderId="84" xfId="0" applyFont="1" applyBorder="1" applyAlignment="1">
      <alignment vertical="center"/>
    </xf>
    <xf numFmtId="0" fontId="10" fillId="0" borderId="23" xfId="0" applyFont="1" applyBorder="1" applyAlignment="1">
      <alignment vertical="center"/>
    </xf>
    <xf numFmtId="0" fontId="10" fillId="0" borderId="30" xfId="0" applyFont="1" applyBorder="1" applyAlignment="1">
      <alignment horizontal="center" vertical="center" wrapText="1"/>
    </xf>
    <xf numFmtId="0" fontId="10" fillId="0" borderId="34" xfId="0" applyFont="1" applyBorder="1" applyAlignment="1">
      <alignment horizontal="center" vertical="center" wrapText="1"/>
    </xf>
    <xf numFmtId="0" fontId="4" fillId="0" borderId="52" xfId="0" applyFont="1" applyBorder="1"/>
    <xf numFmtId="0" fontId="3" fillId="9" borderId="14"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4" fillId="0" borderId="0" xfId="0" applyFont="1"/>
    <xf numFmtId="0" fontId="4" fillId="0" borderId="0" xfId="0" applyFont="1" applyAlignment="1">
      <alignment horizontal="left" vertical="center"/>
    </xf>
    <xf numFmtId="168" fontId="5" fillId="0" borderId="0" xfId="2" applyNumberFormat="1" applyFont="1" applyFill="1" applyAlignment="1">
      <alignment horizontal="center" vertical="center"/>
    </xf>
    <xf numFmtId="165" fontId="5" fillId="0" borderId="0" xfId="2" applyFont="1" applyFill="1" applyAlignment="1">
      <alignment horizontal="center" vertical="center"/>
    </xf>
    <xf numFmtId="168" fontId="5" fillId="0" borderId="16" xfId="2" applyNumberFormat="1" applyFont="1" applyFill="1" applyBorder="1" applyAlignment="1" applyProtection="1">
      <alignment horizontal="left" vertical="center" wrapText="1"/>
      <protection locked="0"/>
    </xf>
    <xf numFmtId="0" fontId="3" fillId="0" borderId="0" xfId="0" applyFont="1" applyAlignment="1">
      <alignment horizontal="left" vertical="center" wrapText="1"/>
    </xf>
    <xf numFmtId="168" fontId="5" fillId="7" borderId="77" xfId="2" applyNumberFormat="1" applyFont="1" applyFill="1" applyBorder="1" applyAlignment="1" applyProtection="1">
      <alignment horizontal="center" vertical="center" wrapText="1"/>
    </xf>
    <xf numFmtId="0" fontId="5" fillId="7" borderId="41" xfId="0" applyFont="1" applyFill="1" applyBorder="1" applyAlignment="1" applyProtection="1">
      <alignment horizontal="center" vertical="center" wrapText="1"/>
      <protection locked="0"/>
    </xf>
    <xf numFmtId="0" fontId="5" fillId="7" borderId="13" xfId="0" applyFont="1" applyFill="1" applyBorder="1" applyAlignment="1" applyProtection="1">
      <alignment horizontal="center" vertical="center" wrapText="1"/>
      <protection locked="0"/>
    </xf>
    <xf numFmtId="0" fontId="5" fillId="7" borderId="89" xfId="0" applyFont="1" applyFill="1" applyBorder="1" applyAlignment="1" applyProtection="1">
      <alignment horizontal="center" vertical="center" wrapText="1"/>
      <protection locked="0"/>
    </xf>
    <xf numFmtId="168" fontId="4" fillId="0" borderId="68" xfId="0" applyNumberFormat="1" applyFont="1" applyBorder="1" applyAlignment="1">
      <alignment vertical="center"/>
    </xf>
    <xf numFmtId="165" fontId="5" fillId="0" borderId="0" xfId="0" applyNumberFormat="1" applyFont="1" applyAlignment="1">
      <alignment horizontal="left" vertical="center" wrapText="1"/>
    </xf>
    <xf numFmtId="167" fontId="5" fillId="0" borderId="0" xfId="0" applyNumberFormat="1" applyFont="1" applyAlignment="1">
      <alignment horizontal="left" vertical="center" wrapText="1"/>
    </xf>
    <xf numFmtId="168" fontId="5" fillId="2" borderId="18" xfId="2" applyNumberFormat="1" applyFont="1" applyFill="1" applyBorder="1" applyAlignment="1" applyProtection="1">
      <alignment horizontal="left" vertical="center" wrapText="1"/>
    </xf>
    <xf numFmtId="168" fontId="5" fillId="2" borderId="19" xfId="2" applyNumberFormat="1" applyFont="1" applyFill="1" applyBorder="1" applyAlignment="1" applyProtection="1">
      <alignment horizontal="left" vertical="center" wrapText="1"/>
      <protection locked="0"/>
    </xf>
    <xf numFmtId="168" fontId="5" fillId="2" borderId="43" xfId="2" applyNumberFormat="1" applyFont="1" applyFill="1" applyBorder="1" applyAlignment="1" applyProtection="1">
      <alignment horizontal="left" vertical="center" wrapText="1"/>
      <protection locked="0"/>
    </xf>
    <xf numFmtId="168" fontId="4" fillId="2" borderId="3" xfId="2" applyNumberFormat="1" applyFont="1" applyFill="1" applyBorder="1" applyAlignment="1">
      <alignment horizontal="center" vertical="center"/>
    </xf>
    <xf numFmtId="165" fontId="5" fillId="2" borderId="18" xfId="2" applyFont="1" applyFill="1" applyBorder="1" applyAlignment="1">
      <alignment horizontal="center" vertical="center"/>
    </xf>
    <xf numFmtId="165" fontId="4" fillId="2" borderId="4" xfId="2" applyFont="1" applyFill="1" applyBorder="1" applyAlignment="1">
      <alignment horizontal="center" vertical="center"/>
    </xf>
    <xf numFmtId="168" fontId="17" fillId="2" borderId="3" xfId="2" applyNumberFormat="1" applyFont="1" applyFill="1" applyBorder="1" applyAlignment="1">
      <alignment horizontal="center" vertical="center"/>
    </xf>
    <xf numFmtId="165" fontId="10" fillId="2" borderId="18" xfId="2" applyFont="1" applyFill="1" applyBorder="1" applyAlignment="1">
      <alignment horizontal="center" vertical="center"/>
    </xf>
    <xf numFmtId="168" fontId="5" fillId="2" borderId="109" xfId="2" applyNumberFormat="1" applyFont="1" applyFill="1" applyBorder="1" applyAlignment="1" applyProtection="1">
      <alignment vertical="center"/>
    </xf>
    <xf numFmtId="168" fontId="5" fillId="2" borderId="73" xfId="2" applyNumberFormat="1" applyFont="1" applyFill="1" applyBorder="1" applyAlignment="1" applyProtection="1">
      <alignment vertical="center"/>
    </xf>
    <xf numFmtId="168" fontId="5" fillId="2" borderId="13" xfId="0" applyNumberFormat="1" applyFont="1" applyFill="1" applyBorder="1" applyAlignment="1">
      <alignment horizontal="center" vertical="center"/>
    </xf>
    <xf numFmtId="168" fontId="5" fillId="2" borderId="21" xfId="0" applyNumberFormat="1" applyFont="1" applyFill="1" applyBorder="1" applyAlignment="1">
      <alignment horizontal="center" vertical="center"/>
    </xf>
    <xf numFmtId="168" fontId="5" fillId="2" borderId="41" xfId="0" applyNumberFormat="1" applyFont="1" applyFill="1" applyBorder="1" applyAlignment="1">
      <alignment horizontal="center" vertical="center"/>
    </xf>
    <xf numFmtId="0" fontId="10" fillId="0" borderId="25" xfId="0" applyFont="1" applyBorder="1" applyAlignment="1">
      <alignment horizontal="center" vertical="center" wrapText="1"/>
    </xf>
    <xf numFmtId="0" fontId="5" fillId="0" borderId="0" xfId="0" applyFont="1" applyAlignment="1">
      <alignment horizontal="left" vertical="center"/>
    </xf>
    <xf numFmtId="168" fontId="5" fillId="10" borderId="30" xfId="2" applyNumberFormat="1" applyFont="1" applyFill="1" applyBorder="1" applyAlignment="1" applyProtection="1">
      <alignment vertical="center"/>
    </xf>
    <xf numFmtId="168" fontId="5" fillId="10" borderId="34" xfId="2" applyNumberFormat="1" applyFont="1" applyFill="1" applyBorder="1" applyAlignment="1" applyProtection="1">
      <alignment vertical="center"/>
    </xf>
    <xf numFmtId="168" fontId="5" fillId="10" borderId="110" xfId="2" applyNumberFormat="1" applyFont="1" applyFill="1" applyBorder="1" applyAlignment="1" applyProtection="1">
      <alignment vertical="center"/>
    </xf>
    <xf numFmtId="168" fontId="5" fillId="10" borderId="111" xfId="2" applyNumberFormat="1" applyFont="1" applyFill="1" applyBorder="1" applyAlignment="1" applyProtection="1">
      <alignment vertical="center"/>
    </xf>
    <xf numFmtId="0" fontId="10" fillId="0" borderId="49" xfId="0" applyFont="1" applyBorder="1" applyAlignment="1" applyProtection="1">
      <alignment vertical="center" wrapText="1"/>
      <protection locked="0"/>
    </xf>
    <xf numFmtId="0" fontId="10" fillId="0" borderId="23" xfId="0" applyFont="1" applyBorder="1" applyAlignment="1" applyProtection="1">
      <alignment vertical="center" wrapText="1"/>
      <protection locked="0"/>
    </xf>
    <xf numFmtId="0" fontId="10" fillId="7" borderId="17" xfId="0" applyFont="1" applyFill="1" applyBorder="1" applyAlignment="1" applyProtection="1">
      <alignment horizontal="center" vertical="center" wrapText="1"/>
      <protection locked="0"/>
    </xf>
    <xf numFmtId="0" fontId="10" fillId="7" borderId="50" xfId="0" applyFont="1" applyFill="1" applyBorder="1" applyAlignment="1" applyProtection="1">
      <alignment vertical="center" wrapText="1"/>
      <protection locked="0"/>
    </xf>
    <xf numFmtId="0" fontId="10" fillId="7" borderId="24" xfId="0" applyFont="1" applyFill="1" applyBorder="1" applyAlignment="1" applyProtection="1">
      <alignment vertical="center" wrapText="1"/>
      <protection locked="0"/>
    </xf>
    <xf numFmtId="168" fontId="5" fillId="10" borderId="107" xfId="2" applyNumberFormat="1" applyFont="1" applyFill="1" applyBorder="1" applyAlignment="1" applyProtection="1">
      <alignment vertical="center"/>
    </xf>
    <xf numFmtId="168" fontId="5" fillId="7" borderId="18" xfId="2" applyNumberFormat="1" applyFont="1" applyFill="1" applyBorder="1" applyAlignment="1" applyProtection="1">
      <alignment horizontal="center" vertical="center" wrapText="1"/>
    </xf>
    <xf numFmtId="168" fontId="5" fillId="2" borderId="78" xfId="1" applyNumberFormat="1" applyFont="1" applyFill="1" applyBorder="1" applyAlignment="1">
      <alignment horizontal="left" vertical="center" wrapText="1"/>
    </xf>
    <xf numFmtId="168" fontId="5" fillId="2" borderId="53" xfId="1" applyNumberFormat="1" applyFont="1" applyFill="1" applyBorder="1" applyAlignment="1">
      <alignment horizontal="left" vertical="center" wrapText="1"/>
    </xf>
    <xf numFmtId="168" fontId="5" fillId="2" borderId="37" xfId="2" applyNumberFormat="1" applyFont="1" applyFill="1" applyBorder="1" applyAlignment="1" applyProtection="1">
      <alignment horizontal="left" vertical="center" wrapText="1"/>
      <protection locked="0"/>
    </xf>
    <xf numFmtId="168" fontId="5" fillId="2" borderId="18" xfId="2" applyNumberFormat="1" applyFont="1" applyFill="1" applyBorder="1" applyAlignment="1" applyProtection="1">
      <alignment horizontal="left" vertical="center" wrapText="1"/>
      <protection locked="0"/>
    </xf>
    <xf numFmtId="168" fontId="5" fillId="2" borderId="8" xfId="1" applyNumberFormat="1" applyFont="1" applyFill="1" applyBorder="1" applyAlignment="1">
      <alignment horizontal="left" vertical="center" wrapText="1"/>
    </xf>
    <xf numFmtId="168" fontId="5" fillId="2" borderId="20" xfId="1" applyNumberFormat="1" applyFont="1" applyFill="1" applyBorder="1" applyAlignment="1">
      <alignment horizontal="left" vertical="center" wrapText="1"/>
    </xf>
    <xf numFmtId="168" fontId="5" fillId="2" borderId="75" xfId="2" applyNumberFormat="1" applyFont="1" applyFill="1" applyBorder="1" applyAlignment="1" applyProtection="1">
      <alignment vertical="center"/>
    </xf>
    <xf numFmtId="0" fontId="10" fillId="0" borderId="114" xfId="0" applyFont="1" applyBorder="1" applyAlignment="1">
      <alignment vertical="center"/>
    </xf>
    <xf numFmtId="168" fontId="5" fillId="10" borderId="115" xfId="2" applyNumberFormat="1" applyFont="1" applyFill="1" applyBorder="1" applyAlignment="1" applyProtection="1">
      <alignment vertical="center"/>
    </xf>
    <xf numFmtId="0" fontId="5" fillId="0" borderId="94" xfId="0" applyFont="1" applyBorder="1" applyAlignment="1">
      <alignment horizontal="center" vertical="center"/>
    </xf>
    <xf numFmtId="0" fontId="5" fillId="0" borderId="113" xfId="0" applyFont="1" applyBorder="1" applyAlignment="1">
      <alignment horizontal="center" vertical="center"/>
    </xf>
    <xf numFmtId="168" fontId="26" fillId="0" borderId="14" xfId="2" applyNumberFormat="1" applyFont="1" applyFill="1" applyBorder="1" applyAlignment="1">
      <alignment horizontal="center" vertical="center" wrapText="1"/>
    </xf>
    <xf numFmtId="168" fontId="4" fillId="0" borderId="0" xfId="0" applyNumberFormat="1" applyFont="1" applyAlignment="1">
      <alignment vertical="center"/>
    </xf>
    <xf numFmtId="0" fontId="4" fillId="0" borderId="0" xfId="0" applyFont="1" applyAlignment="1">
      <alignment horizontal="center" vertical="center"/>
    </xf>
    <xf numFmtId="0" fontId="30" fillId="0" borderId="116" xfId="0" applyFont="1" applyBorder="1" applyAlignment="1">
      <alignment horizontal="center" vertical="center"/>
    </xf>
    <xf numFmtId="0" fontId="5" fillId="0" borderId="92" xfId="0" applyFont="1" applyBorder="1" applyAlignment="1">
      <alignment horizontal="center" vertical="center"/>
    </xf>
    <xf numFmtId="9" fontId="5" fillId="0" borderId="0" xfId="4" applyFont="1" applyFill="1" applyBorder="1" applyAlignment="1" applyProtection="1">
      <alignment vertical="center"/>
    </xf>
    <xf numFmtId="0" fontId="5" fillId="0" borderId="82" xfId="0" applyFont="1" applyBorder="1" applyAlignment="1">
      <alignment horizontal="center" vertical="center" wrapText="1"/>
    </xf>
    <xf numFmtId="0" fontId="5" fillId="0" borderId="118" xfId="0" applyFont="1" applyBorder="1" applyAlignment="1">
      <alignment horizontal="center" vertical="center"/>
    </xf>
    <xf numFmtId="0" fontId="32" fillId="4" borderId="17" xfId="3" applyFont="1" applyFill="1" applyBorder="1" applyAlignment="1" applyProtection="1">
      <alignment horizontal="left" vertical="center" wrapText="1"/>
      <protection locked="0"/>
    </xf>
    <xf numFmtId="0" fontId="11" fillId="4" borderId="16" xfId="0" applyFont="1" applyFill="1" applyBorder="1" applyAlignment="1" applyProtection="1">
      <alignment horizontal="left" vertical="center" wrapText="1"/>
      <protection locked="0"/>
    </xf>
    <xf numFmtId="0" fontId="25" fillId="4" borderId="41" xfId="0" applyFont="1" applyFill="1" applyBorder="1" applyAlignment="1" applyProtection="1">
      <alignment horizontal="left" vertical="center" wrapText="1"/>
      <protection locked="0"/>
    </xf>
    <xf numFmtId="0" fontId="33" fillId="0" borderId="0" xfId="0" applyFont="1" applyAlignment="1">
      <alignment horizontal="center"/>
    </xf>
    <xf numFmtId="0" fontId="0" fillId="0" borderId="14" xfId="0" applyBorder="1" applyAlignment="1">
      <alignment horizontal="center"/>
    </xf>
    <xf numFmtId="14" fontId="0" fillId="0" borderId="14" xfId="0" applyNumberFormat="1"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left" vertical="center" wrapText="1"/>
    </xf>
    <xf numFmtId="0" fontId="0" fillId="0" borderId="14" xfId="0" applyBorder="1" applyAlignment="1">
      <alignment horizontal="center" wrapText="1"/>
    </xf>
    <xf numFmtId="0" fontId="3" fillId="0" borderId="4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5" xfId="0" applyFont="1" applyBorder="1" applyAlignment="1">
      <alignment horizontal="center" vertical="center" wrapText="1"/>
    </xf>
    <xf numFmtId="0" fontId="27" fillId="0" borderId="0" xfId="0" applyFont="1" applyAlignment="1">
      <alignment vertical="center"/>
    </xf>
    <xf numFmtId="0" fontId="5" fillId="0" borderId="119" xfId="0" applyFont="1" applyBorder="1" applyAlignment="1">
      <alignment horizontal="center" vertical="center"/>
    </xf>
    <xf numFmtId="0" fontId="4" fillId="2" borderId="120" xfId="0" applyFont="1" applyFill="1" applyBorder="1" applyAlignment="1">
      <alignment horizontal="center" vertical="center" wrapText="1"/>
    </xf>
    <xf numFmtId="0" fontId="5" fillId="0" borderId="121" xfId="0" applyFont="1" applyBorder="1" applyAlignment="1">
      <alignment vertical="center" wrapText="1"/>
    </xf>
    <xf numFmtId="168" fontId="5" fillId="11" borderId="122" xfId="0" applyNumberFormat="1" applyFont="1" applyFill="1" applyBorder="1" applyAlignment="1">
      <alignment horizontal="center" vertical="center"/>
    </xf>
    <xf numFmtId="170" fontId="4" fillId="2" borderId="117" xfId="4" applyNumberFormat="1" applyFont="1" applyFill="1" applyBorder="1" applyAlignment="1" applyProtection="1">
      <alignment horizontal="center" vertical="center"/>
    </xf>
    <xf numFmtId="0" fontId="0" fillId="0" borderId="14" xfId="0" applyBorder="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wrapText="1"/>
    </xf>
    <xf numFmtId="0" fontId="4" fillId="0" borderId="0" xfId="0" applyFont="1" applyAlignment="1" applyProtection="1">
      <alignment horizontal="center" vertical="center" wrapText="1"/>
      <protection locked="0"/>
    </xf>
    <xf numFmtId="0" fontId="11" fillId="0" borderId="14" xfId="0" applyFont="1" applyBorder="1" applyAlignment="1">
      <alignment horizontal="left" vertical="center" wrapText="1"/>
    </xf>
    <xf numFmtId="0" fontId="35" fillId="0" borderId="0" xfId="0" applyFont="1" applyAlignment="1">
      <alignment horizontal="justify" vertical="center"/>
    </xf>
    <xf numFmtId="0" fontId="19" fillId="0" borderId="0" xfId="0" applyFont="1"/>
    <xf numFmtId="0" fontId="3" fillId="2" borderId="53" xfId="0" applyFont="1" applyFill="1" applyBorder="1" applyAlignment="1">
      <alignment horizontal="center" vertical="center" wrapText="1"/>
    </xf>
    <xf numFmtId="0" fontId="3" fillId="2" borderId="130" xfId="0" applyFont="1" applyFill="1" applyBorder="1" applyAlignment="1">
      <alignment horizontal="center" vertical="center" wrapText="1"/>
    </xf>
    <xf numFmtId="0" fontId="11" fillId="0" borderId="9" xfId="0" applyFont="1" applyBorder="1" applyAlignment="1">
      <alignment horizontal="center" vertical="center" wrapText="1"/>
    </xf>
    <xf numFmtId="0" fontId="4" fillId="0" borderId="134" xfId="0" applyFont="1" applyBorder="1" applyAlignment="1">
      <alignment vertical="center"/>
    </xf>
    <xf numFmtId="0" fontId="0" fillId="0" borderId="134" xfId="0" applyBorder="1"/>
    <xf numFmtId="0" fontId="11" fillId="0" borderId="134" xfId="0" applyFont="1" applyBorder="1" applyAlignment="1">
      <alignment vertical="center" wrapText="1"/>
    </xf>
    <xf numFmtId="0" fontId="4" fillId="4" borderId="138" xfId="0" applyFont="1" applyFill="1" applyBorder="1" applyAlignment="1" applyProtection="1">
      <alignment horizontal="center" vertical="center" wrapText="1"/>
      <protection locked="0"/>
    </xf>
    <xf numFmtId="0" fontId="4" fillId="0" borderId="140" xfId="0" applyFont="1" applyBorder="1" applyAlignment="1">
      <alignment horizontal="center" vertical="center"/>
    </xf>
    <xf numFmtId="0" fontId="4" fillId="4" borderId="141" xfId="0" applyFont="1" applyFill="1" applyBorder="1" applyAlignment="1" applyProtection="1">
      <alignment horizontal="center" vertical="center" wrapText="1"/>
      <protection locked="0"/>
    </xf>
    <xf numFmtId="0" fontId="4" fillId="0" borderId="142" xfId="0" applyFont="1" applyBorder="1" applyAlignment="1">
      <alignment horizontal="center" vertical="center"/>
    </xf>
    <xf numFmtId="0" fontId="5" fillId="0" borderId="143" xfId="0" applyFont="1" applyBorder="1" applyAlignment="1">
      <alignment horizontal="center" vertical="center"/>
    </xf>
    <xf numFmtId="0" fontId="4" fillId="0" borderId="144" xfId="0" applyFont="1" applyBorder="1" applyAlignment="1">
      <alignment vertical="center"/>
    </xf>
    <xf numFmtId="0" fontId="0" fillId="0" borderId="144" xfId="0" applyBorder="1"/>
    <xf numFmtId="0" fontId="11" fillId="0" borderId="144" xfId="0" applyFont="1" applyBorder="1" applyAlignment="1">
      <alignment vertical="center" wrapText="1"/>
    </xf>
    <xf numFmtId="0" fontId="5" fillId="0" borderId="145" xfId="0" applyFont="1" applyBorder="1" applyAlignment="1">
      <alignment horizontal="center" vertical="center"/>
    </xf>
    <xf numFmtId="0" fontId="11" fillId="0" borderId="148" xfId="0" applyFont="1" applyBorder="1" applyAlignment="1">
      <alignment horizontal="left" vertical="center" wrapText="1"/>
    </xf>
    <xf numFmtId="0" fontId="11" fillId="0" borderId="146" xfId="0" applyFont="1" applyBorder="1" applyAlignment="1">
      <alignment horizontal="center" vertical="center" wrapText="1"/>
    </xf>
    <xf numFmtId="0" fontId="11" fillId="0" borderId="149" xfId="0" applyFont="1" applyBorder="1" applyAlignment="1">
      <alignment vertical="center" wrapText="1"/>
    </xf>
    <xf numFmtId="0" fontId="11" fillId="0" borderId="150" xfId="0" applyFont="1" applyBorder="1" applyAlignment="1">
      <alignment vertical="center" wrapText="1"/>
    </xf>
    <xf numFmtId="0" fontId="4" fillId="0" borderId="151" xfId="0" applyFont="1" applyBorder="1" applyAlignment="1">
      <alignment horizontal="center" vertical="center"/>
    </xf>
    <xf numFmtId="0" fontId="5" fillId="0" borderId="152" xfId="0" applyFont="1" applyBorder="1" applyAlignment="1">
      <alignment horizontal="center" vertical="center"/>
    </xf>
    <xf numFmtId="0" fontId="3" fillId="0" borderId="153" xfId="0" applyFont="1" applyBorder="1" applyAlignment="1">
      <alignment horizontal="left" vertical="center" wrapText="1"/>
    </xf>
    <xf numFmtId="0" fontId="5" fillId="0" borderId="154" xfId="0" applyFont="1" applyBorder="1" applyAlignment="1">
      <alignment horizontal="center" vertical="center"/>
    </xf>
    <xf numFmtId="0" fontId="3" fillId="0" borderId="156" xfId="0" applyFont="1" applyBorder="1" applyAlignment="1">
      <alignment horizontal="left" vertical="center" wrapText="1"/>
    </xf>
    <xf numFmtId="0" fontId="4" fillId="0" borderId="153" xfId="0" applyFont="1" applyBorder="1" applyAlignment="1">
      <alignment horizontal="center" vertical="center"/>
    </xf>
    <xf numFmtId="0" fontId="4" fillId="0" borderId="156" xfId="0" applyFont="1" applyBorder="1" applyAlignment="1">
      <alignment horizontal="center" vertical="center"/>
    </xf>
    <xf numFmtId="0" fontId="10" fillId="4" borderId="14" xfId="0" applyFont="1" applyFill="1" applyBorder="1" applyAlignment="1">
      <alignment vertical="center" wrapText="1"/>
    </xf>
    <xf numFmtId="168" fontId="5" fillId="4" borderId="14" xfId="2" applyNumberFormat="1" applyFont="1" applyFill="1" applyBorder="1" applyAlignment="1">
      <alignment horizontal="left" vertical="center" wrapText="1"/>
    </xf>
    <xf numFmtId="168" fontId="5" fillId="4" borderId="9" xfId="2" applyNumberFormat="1" applyFont="1" applyFill="1" applyBorder="1" applyAlignment="1">
      <alignment horizontal="left" vertical="center" wrapText="1"/>
    </xf>
    <xf numFmtId="0" fontId="5" fillId="4" borderId="14" xfId="0" applyFont="1" applyFill="1" applyBorder="1" applyAlignment="1">
      <alignment vertical="center" wrapText="1"/>
    </xf>
    <xf numFmtId="0" fontId="5" fillId="0" borderId="157" xfId="0" applyFont="1" applyBorder="1" applyAlignment="1">
      <alignment horizontal="center" vertical="center"/>
    </xf>
    <xf numFmtId="0" fontId="5" fillId="4" borderId="158" xfId="0" applyFont="1" applyFill="1" applyBorder="1" applyAlignment="1">
      <alignment horizontal="center" vertical="center"/>
    </xf>
    <xf numFmtId="0" fontId="4" fillId="4" borderId="159" xfId="0" applyFont="1" applyFill="1" applyBorder="1" applyAlignment="1">
      <alignment horizontal="center" vertical="center"/>
    </xf>
    <xf numFmtId="9" fontId="5" fillId="0" borderId="160" xfId="4" applyFont="1" applyFill="1" applyBorder="1" applyAlignment="1" applyProtection="1">
      <alignment horizontal="center" vertical="center"/>
    </xf>
    <xf numFmtId="9" fontId="5" fillId="4" borderId="161" xfId="4" applyFont="1" applyFill="1" applyBorder="1" applyAlignment="1" applyProtection="1">
      <alignment horizontal="center" vertical="center"/>
    </xf>
    <xf numFmtId="9" fontId="4" fillId="4" borderId="162" xfId="4" applyFont="1" applyFill="1" applyBorder="1" applyAlignment="1" applyProtection="1">
      <alignment horizontal="center" vertical="center"/>
    </xf>
    <xf numFmtId="0" fontId="0" fillId="0" borderId="11" xfId="0" applyBorder="1" applyAlignment="1">
      <alignment horizontal="center"/>
    </xf>
    <xf numFmtId="0" fontId="5" fillId="0" borderId="11" xfId="0" applyFont="1" applyBorder="1" applyAlignment="1">
      <alignment horizontal="center" vertical="center"/>
    </xf>
    <xf numFmtId="0" fontId="0" fillId="0" borderId="147" xfId="0" applyBorder="1" applyAlignment="1">
      <alignment horizontal="center"/>
    </xf>
    <xf numFmtId="0" fontId="4" fillId="0" borderId="139" xfId="0" applyFont="1" applyBorder="1" applyAlignment="1">
      <alignment horizontal="center" vertical="center"/>
    </xf>
    <xf numFmtId="0" fontId="4" fillId="0" borderId="125" xfId="0" applyFont="1" applyBorder="1" applyAlignment="1">
      <alignment horizontal="center" vertical="center"/>
    </xf>
    <xf numFmtId="0" fontId="5" fillId="0" borderId="21" xfId="0" applyFont="1" applyBorder="1" applyAlignment="1" applyProtection="1">
      <alignment horizontal="center" vertical="center" wrapText="1"/>
      <protection locked="0"/>
    </xf>
    <xf numFmtId="0" fontId="4" fillId="4" borderId="125" xfId="0" applyFont="1" applyFill="1" applyBorder="1" applyAlignment="1" applyProtection="1">
      <alignment horizontal="center" vertical="center" wrapText="1"/>
      <protection locked="0"/>
    </xf>
    <xf numFmtId="0" fontId="5" fillId="0" borderId="39" xfId="0" applyFont="1" applyBorder="1" applyAlignment="1">
      <alignment horizontal="center" vertical="center"/>
    </xf>
    <xf numFmtId="0" fontId="3" fillId="0" borderId="0" xfId="0" applyFont="1" applyAlignment="1">
      <alignment vertical="center" wrapText="1"/>
    </xf>
    <xf numFmtId="0" fontId="4" fillId="0" borderId="165" xfId="0" applyFont="1" applyBorder="1" applyAlignment="1">
      <alignment horizontal="center" vertical="center"/>
    </xf>
    <xf numFmtId="0" fontId="11" fillId="0" borderId="38" xfId="0" applyFont="1" applyBorder="1" applyAlignment="1" applyProtection="1">
      <alignment vertical="center" wrapText="1"/>
      <protection locked="0"/>
    </xf>
    <xf numFmtId="0" fontId="11" fillId="0" borderId="9" xfId="0" applyFont="1" applyBorder="1" applyAlignment="1">
      <alignment horizontal="left" vertical="center" wrapText="1"/>
    </xf>
    <xf numFmtId="0" fontId="11" fillId="0" borderId="146" xfId="0" applyFont="1" applyBorder="1" applyAlignment="1">
      <alignment horizontal="left" vertical="center" wrapText="1"/>
    </xf>
    <xf numFmtId="0" fontId="11" fillId="0" borderId="125" xfId="0" applyFont="1" applyBorder="1" applyAlignment="1" applyProtection="1">
      <alignment vertical="center" wrapText="1"/>
      <protection locked="0"/>
    </xf>
    <xf numFmtId="0" fontId="11" fillId="0" borderId="125" xfId="0" applyFont="1" applyBorder="1" applyAlignment="1">
      <alignment horizontal="left" vertical="center" wrapText="1"/>
    </xf>
    <xf numFmtId="0" fontId="4" fillId="4" borderId="134" xfId="0" applyFont="1" applyFill="1" applyBorder="1" applyAlignment="1" applyProtection="1">
      <alignment horizontal="center" vertical="center" wrapText="1"/>
      <protection locked="0"/>
    </xf>
    <xf numFmtId="0" fontId="4" fillId="0" borderId="10" xfId="0" applyFont="1" applyBorder="1" applyAlignment="1">
      <alignment horizontal="center" vertical="center"/>
    </xf>
    <xf numFmtId="0" fontId="0" fillId="0" borderId="10" xfId="0" applyBorder="1"/>
    <xf numFmtId="0" fontId="11" fillId="0" borderId="10" xfId="0" applyFont="1" applyBorder="1" applyAlignment="1">
      <alignment horizontal="center" vertical="center" wrapText="1"/>
    </xf>
    <xf numFmtId="0" fontId="11" fillId="0" borderId="38" xfId="0" applyFont="1" applyBorder="1" applyAlignment="1">
      <alignment horizontal="left" vertical="center" wrapText="1"/>
    </xf>
    <xf numFmtId="0" fontId="42" fillId="0" borderId="95" xfId="0" applyFont="1" applyBorder="1" applyAlignment="1">
      <alignment vertical="center" wrapText="1"/>
    </xf>
    <xf numFmtId="0" fontId="47" fillId="0" borderId="0" xfId="0" applyFont="1" applyAlignment="1">
      <alignment horizontal="justify" vertical="center" wrapText="1"/>
    </xf>
    <xf numFmtId="0" fontId="48" fillId="0" borderId="0" xfId="0" applyFont="1"/>
    <xf numFmtId="0" fontId="49" fillId="0" borderId="0" xfId="0" applyFont="1" applyAlignment="1">
      <alignment horizontal="left" vertical="center"/>
    </xf>
    <xf numFmtId="0" fontId="49" fillId="0" borderId="0" xfId="0" applyFont="1" applyAlignment="1">
      <alignment horizontal="left" vertical="center" wrapText="1"/>
    </xf>
    <xf numFmtId="0" fontId="49" fillId="0" borderId="0" xfId="0" applyFont="1"/>
    <xf numFmtId="0" fontId="49" fillId="0" borderId="0" xfId="0" applyFont="1" applyAlignment="1">
      <alignment horizontal="left"/>
    </xf>
    <xf numFmtId="3" fontId="49" fillId="0" borderId="0" xfId="2" applyNumberFormat="1" applyFont="1" applyAlignment="1">
      <alignment horizontal="left"/>
    </xf>
    <xf numFmtId="3" fontId="49" fillId="0" borderId="0" xfId="0" applyNumberFormat="1" applyFont="1" applyAlignment="1">
      <alignment horizontal="left"/>
    </xf>
    <xf numFmtId="165" fontId="49" fillId="0" borderId="0" xfId="0" applyNumberFormat="1" applyFont="1"/>
    <xf numFmtId="0" fontId="50" fillId="0" borderId="0" xfId="0" applyFont="1"/>
    <xf numFmtId="3" fontId="51" fillId="0" borderId="0" xfId="0" applyNumberFormat="1" applyFont="1" applyAlignment="1">
      <alignment horizontal="left"/>
    </xf>
    <xf numFmtId="0" fontId="49" fillId="0" borderId="0" xfId="0" applyFont="1" applyAlignment="1">
      <alignment wrapText="1"/>
    </xf>
    <xf numFmtId="0" fontId="35" fillId="0" borderId="0" xfId="0" applyFont="1"/>
    <xf numFmtId="0" fontId="49" fillId="0" borderId="0" xfId="0" applyFont="1" applyAlignment="1">
      <alignment vertical="top" wrapText="1"/>
    </xf>
    <xf numFmtId="0" fontId="49" fillId="0" borderId="0" xfId="0" applyFont="1" applyAlignment="1">
      <alignment vertical="center" wrapText="1"/>
    </xf>
    <xf numFmtId="0" fontId="49" fillId="0" borderId="0" xfId="0" applyFont="1" applyAlignment="1">
      <alignment horizontal="justify" vertical="center" wrapText="1"/>
    </xf>
    <xf numFmtId="0" fontId="3" fillId="0" borderId="133"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87" xfId="0" applyFont="1" applyBorder="1" applyAlignment="1">
      <alignment horizontal="center" vertical="center" wrapText="1"/>
    </xf>
    <xf numFmtId="0" fontId="36" fillId="0" borderId="178" xfId="0" applyFont="1" applyBorder="1" applyAlignment="1" applyProtection="1">
      <alignment horizontal="center" vertical="center" wrapText="1"/>
      <protection locked="0"/>
    </xf>
    <xf numFmtId="0" fontId="36" fillId="0" borderId="181" xfId="0" applyFont="1" applyBorder="1" applyAlignment="1" applyProtection="1">
      <alignment horizontal="center" vertical="center" wrapText="1"/>
      <protection locked="0"/>
    </xf>
    <xf numFmtId="0" fontId="5" fillId="0" borderId="182" xfId="0" applyFont="1" applyBorder="1" applyAlignment="1" applyProtection="1">
      <alignment horizontal="left" vertical="center" wrapText="1"/>
      <protection locked="0"/>
    </xf>
    <xf numFmtId="0" fontId="5" fillId="0" borderId="129" xfId="0" applyFont="1" applyBorder="1" applyAlignment="1" applyProtection="1">
      <alignment horizontal="left" vertical="center" wrapText="1"/>
      <protection locked="0"/>
    </xf>
    <xf numFmtId="0" fontId="11" fillId="0" borderId="178" xfId="0" applyFont="1" applyBorder="1" applyAlignment="1">
      <alignment horizontal="left" vertical="center" wrapText="1"/>
    </xf>
    <xf numFmtId="0" fontId="11" fillId="0" borderId="183" xfId="0" applyFont="1" applyBorder="1" applyAlignment="1">
      <alignment horizontal="left" vertical="center" wrapText="1"/>
    </xf>
    <xf numFmtId="15" fontId="4" fillId="0" borderId="133" xfId="0" applyNumberFormat="1" applyFont="1" applyBorder="1" applyAlignment="1">
      <alignment horizontal="center" vertical="center" wrapText="1"/>
    </xf>
    <xf numFmtId="15" fontId="4" fillId="0" borderId="190" xfId="0" applyNumberFormat="1" applyFont="1" applyBorder="1" applyAlignment="1">
      <alignment horizontal="center" vertical="center" wrapText="1"/>
    </xf>
    <xf numFmtId="0" fontId="11" fillId="0" borderId="84"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29" xfId="0" applyFont="1" applyBorder="1" applyAlignment="1">
      <alignment horizontal="center" vertical="center" wrapText="1"/>
    </xf>
    <xf numFmtId="0" fontId="25" fillId="0" borderId="84"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29"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23"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163" xfId="0" applyFont="1" applyBorder="1" applyAlignment="1">
      <alignment horizontal="center" vertical="center" wrapText="1"/>
    </xf>
    <xf numFmtId="0" fontId="11" fillId="0" borderId="26" xfId="0" applyFont="1" applyBorder="1" applyAlignment="1">
      <alignment horizontal="center" vertical="center" wrapText="1"/>
    </xf>
    <xf numFmtId="0" fontId="37" fillId="0" borderId="84"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29"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37"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5" fillId="0" borderId="26"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80"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protection locked="0"/>
    </xf>
    <xf numFmtId="0" fontId="5" fillId="0" borderId="27" xfId="0" applyFont="1" applyBorder="1" applyAlignment="1" applyProtection="1">
      <alignment horizontal="left" vertical="center" wrapText="1"/>
      <protection locked="0"/>
    </xf>
    <xf numFmtId="0" fontId="3" fillId="0" borderId="0" xfId="0" applyFont="1" applyAlignment="1">
      <alignment horizontal="left" vertical="center" wrapText="1"/>
    </xf>
    <xf numFmtId="0" fontId="12" fillId="0" borderId="0" xfId="0" applyFont="1" applyAlignment="1">
      <alignment horizontal="center" vertical="center" wrapText="1"/>
    </xf>
    <xf numFmtId="0" fontId="3" fillId="0" borderId="191" xfId="0" applyFont="1" applyBorder="1" applyAlignment="1">
      <alignment horizontal="center" vertical="center" wrapText="1"/>
    </xf>
    <xf numFmtId="0" fontId="3" fillId="0" borderId="192" xfId="0" applyFont="1" applyBorder="1" applyAlignment="1">
      <alignment horizontal="center" vertical="center" wrapText="1"/>
    </xf>
    <xf numFmtId="0" fontId="3" fillId="0" borderId="0" xfId="0" applyFont="1" applyAlignment="1">
      <alignment horizontal="center" vertical="center" wrapText="1"/>
    </xf>
    <xf numFmtId="0" fontId="6" fillId="2" borderId="5" xfId="0" applyFont="1" applyFill="1" applyBorder="1" applyAlignment="1">
      <alignment horizontal="center" vertical="center" wrapText="1"/>
    </xf>
    <xf numFmtId="0" fontId="0" fillId="2" borderId="6" xfId="0" applyFill="1" applyBorder="1"/>
    <xf numFmtId="0" fontId="0" fillId="2" borderId="7" xfId="0" applyFill="1" applyBorder="1"/>
    <xf numFmtId="0" fontId="10" fillId="0" borderId="173" xfId="0" applyFont="1" applyBorder="1" applyAlignment="1">
      <alignment horizontal="center" vertical="center" wrapText="1"/>
    </xf>
    <xf numFmtId="0" fontId="10" fillId="0" borderId="174" xfId="0" applyFont="1" applyBorder="1" applyAlignment="1">
      <alignment horizontal="center" vertical="center" wrapText="1"/>
    </xf>
    <xf numFmtId="0" fontId="10" fillId="0" borderId="0" xfId="0" applyFont="1" applyAlignment="1">
      <alignment horizontal="center" vertical="center" wrapText="1"/>
    </xf>
    <xf numFmtId="0" fontId="10" fillId="0" borderId="126" xfId="0" applyFont="1" applyBorder="1" applyAlignment="1">
      <alignment horizontal="center" vertical="center" wrapText="1"/>
    </xf>
    <xf numFmtId="0" fontId="5" fillId="0" borderId="175" xfId="0" applyFont="1" applyBorder="1" applyAlignment="1" applyProtection="1">
      <alignment horizontal="left" vertical="center" wrapText="1"/>
      <protection locked="0"/>
    </xf>
    <xf numFmtId="0" fontId="5" fillId="0" borderId="176" xfId="0" applyFont="1" applyBorder="1" applyAlignment="1" applyProtection="1">
      <alignment horizontal="left" vertical="center" wrapText="1"/>
      <protection locked="0"/>
    </xf>
    <xf numFmtId="0" fontId="5" fillId="0" borderId="177"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84"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127" xfId="0" applyFont="1" applyBorder="1" applyAlignment="1" applyProtection="1">
      <alignment horizontal="left" vertical="center" wrapText="1"/>
      <protection locked="0"/>
    </xf>
    <xf numFmtId="0" fontId="5" fillId="0" borderId="128" xfId="0" applyFont="1" applyBorder="1" applyAlignment="1" applyProtection="1">
      <alignment horizontal="left" vertical="center" wrapText="1"/>
      <protection locked="0"/>
    </xf>
    <xf numFmtId="0" fontId="0" fillId="0" borderId="0" xfId="0" applyAlignment="1">
      <alignment horizontal="center" vertical="center" wrapText="1"/>
    </xf>
    <xf numFmtId="164" fontId="5" fillId="2" borderId="84" xfId="2" applyNumberFormat="1" applyFont="1" applyFill="1" applyBorder="1" applyAlignment="1" applyProtection="1">
      <alignment horizontal="center" vertical="center" wrapText="1"/>
    </xf>
    <xf numFmtId="164" fontId="5" fillId="2" borderId="33" xfId="2" applyNumberFormat="1" applyFont="1" applyFill="1" applyBorder="1" applyAlignment="1" applyProtection="1">
      <alignment horizontal="center" vertical="center" wrapText="1"/>
    </xf>
    <xf numFmtId="164" fontId="5" fillId="2" borderId="35" xfId="2" applyNumberFormat="1" applyFont="1" applyFill="1" applyBorder="1" applyAlignment="1" applyProtection="1">
      <alignment horizontal="center" vertical="center" wrapText="1"/>
    </xf>
    <xf numFmtId="164" fontId="6" fillId="2" borderId="21" xfId="2" applyNumberFormat="1" applyFont="1" applyFill="1" applyBorder="1" applyAlignment="1">
      <alignment horizontal="center" vertical="center" wrapText="1"/>
    </xf>
    <xf numFmtId="164" fontId="6" fillId="2" borderId="123" xfId="2" applyNumberFormat="1" applyFont="1" applyFill="1" applyBorder="1" applyAlignment="1">
      <alignment horizontal="center" vertical="center" wrapText="1"/>
    </xf>
    <xf numFmtId="164" fontId="6" fillId="2" borderId="124" xfId="2" applyNumberFormat="1" applyFont="1" applyFill="1" applyBorder="1" applyAlignment="1">
      <alignment horizontal="center" vertical="center" wrapText="1"/>
    </xf>
    <xf numFmtId="0" fontId="11" fillId="0" borderId="127" xfId="0" applyFont="1" applyBorder="1" applyAlignment="1">
      <alignment horizontal="center" vertical="center" wrapText="1"/>
    </xf>
    <xf numFmtId="0" fontId="11" fillId="0" borderId="128" xfId="0" applyFont="1" applyBorder="1" applyAlignment="1">
      <alignment horizontal="center" vertical="center" wrapText="1"/>
    </xf>
    <xf numFmtId="0" fontId="11" fillId="0" borderId="164" xfId="0" applyFont="1" applyBorder="1" applyAlignment="1">
      <alignment horizontal="center" vertical="center" wrapText="1"/>
    </xf>
    <xf numFmtId="0" fontId="41" fillId="0" borderId="186" xfId="0" applyFont="1" applyBorder="1" applyAlignment="1">
      <alignment horizontal="center" vertical="center"/>
    </xf>
    <xf numFmtId="0" fontId="41" fillId="0" borderId="189" xfId="0" applyFont="1" applyBorder="1" applyAlignment="1">
      <alignment horizontal="center" vertical="center"/>
    </xf>
    <xf numFmtId="0" fontId="4" fillId="0" borderId="186" xfId="0" applyFont="1" applyBorder="1" applyAlignment="1">
      <alignment horizontal="center" vertical="center" wrapText="1"/>
    </xf>
    <xf numFmtId="0" fontId="4" fillId="0" borderId="187" xfId="0" applyFont="1" applyBorder="1" applyAlignment="1">
      <alignment horizontal="center" vertical="center" wrapText="1"/>
    </xf>
    <xf numFmtId="0" fontId="4" fillId="0" borderId="188" xfId="0" applyFont="1" applyBorder="1" applyAlignment="1">
      <alignment horizontal="center" vertical="center" wrapText="1"/>
    </xf>
    <xf numFmtId="0" fontId="31" fillId="0" borderId="137" xfId="0" applyFont="1" applyBorder="1" applyAlignment="1">
      <alignment horizontal="left" vertical="top" wrapText="1"/>
    </xf>
    <xf numFmtId="0" fontId="31" fillId="0" borderId="135" xfId="0" applyFont="1" applyBorder="1" applyAlignment="1">
      <alignment horizontal="left" vertical="top" wrapText="1"/>
    </xf>
    <xf numFmtId="0" fontId="31" fillId="0" borderId="136" xfId="0" applyFont="1" applyBorder="1" applyAlignment="1">
      <alignment horizontal="left" vertical="top" wrapText="1"/>
    </xf>
    <xf numFmtId="0" fontId="4" fillId="0" borderId="125" xfId="0" applyFont="1" applyBorder="1" applyAlignment="1" applyProtection="1">
      <alignment horizontal="center" vertical="center" wrapText="1"/>
      <protection locked="0"/>
    </xf>
    <xf numFmtId="0" fontId="11" fillId="0" borderId="125" xfId="0" applyFont="1" applyBorder="1" applyAlignment="1" applyProtection="1">
      <alignment horizontal="center" vertical="center" wrapText="1"/>
      <protection locked="0"/>
    </xf>
    <xf numFmtId="0" fontId="39" fillId="2" borderId="25" xfId="0" applyFont="1" applyFill="1" applyBorder="1" applyAlignment="1">
      <alignment horizontal="center" vertical="center" wrapText="1"/>
    </xf>
    <xf numFmtId="0" fontId="3" fillId="2" borderId="28" xfId="0" applyFont="1" applyFill="1" applyBorder="1" applyAlignment="1">
      <alignment horizontal="center" vertical="center" wrapText="1"/>
    </xf>
    <xf numFmtId="164" fontId="5" fillId="2" borderId="176" xfId="2" applyNumberFormat="1" applyFont="1" applyFill="1" applyBorder="1" applyAlignment="1" applyProtection="1">
      <alignment horizontal="center" vertical="center" wrapText="1"/>
    </xf>
    <xf numFmtId="164" fontId="5" fillId="2" borderId="184" xfId="2" applyNumberFormat="1" applyFont="1" applyFill="1" applyBorder="1" applyAlignment="1" applyProtection="1">
      <alignment horizontal="center" vertical="center" wrapText="1"/>
    </xf>
    <xf numFmtId="164" fontId="5" fillId="2" borderId="185" xfId="2" applyNumberFormat="1" applyFont="1" applyFill="1" applyBorder="1" applyAlignment="1" applyProtection="1">
      <alignment horizontal="center" vertical="center" wrapText="1"/>
    </xf>
    <xf numFmtId="0" fontId="6" fillId="2" borderId="79"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5" fillId="0" borderId="84"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11" fillId="0" borderId="31" xfId="0" applyFont="1" applyBorder="1" applyAlignment="1">
      <alignment horizontal="left" vertical="center" wrapText="1"/>
    </xf>
    <xf numFmtId="0" fontId="11" fillId="0" borderId="0" xfId="0" applyFont="1" applyAlignment="1">
      <alignment horizontal="left" vertical="center" wrapText="1"/>
    </xf>
    <xf numFmtId="0" fontId="11" fillId="0" borderId="38"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39" xfId="0" applyFont="1" applyBorder="1" applyAlignment="1">
      <alignment horizontal="center" vertical="center" wrapText="1"/>
    </xf>
    <xf numFmtId="0" fontId="5" fillId="0" borderId="123" xfId="0" applyFont="1" applyBorder="1" applyAlignment="1" applyProtection="1">
      <alignment horizontal="left" vertical="center" wrapText="1"/>
      <protection locked="0"/>
    </xf>
    <xf numFmtId="0" fontId="5" fillId="0" borderId="124" xfId="0" applyFont="1" applyBorder="1" applyAlignment="1" applyProtection="1">
      <alignment horizontal="left" vertical="center" wrapText="1"/>
      <protection locked="0"/>
    </xf>
    <xf numFmtId="0" fontId="36" fillId="0" borderId="179" xfId="0" applyFont="1" applyBorder="1" applyAlignment="1" applyProtection="1">
      <alignment horizontal="center" vertical="center" wrapText="1"/>
      <protection locked="0"/>
    </xf>
    <xf numFmtId="0" fontId="36" fillId="0" borderId="180" xfId="0" applyFont="1" applyBorder="1" applyAlignment="1" applyProtection="1">
      <alignment horizontal="center" vertical="center" wrapText="1"/>
      <protection locked="0"/>
    </xf>
    <xf numFmtId="0" fontId="4" fillId="0" borderId="139" xfId="0" applyFont="1" applyBorder="1" applyAlignment="1">
      <alignment horizontal="center" vertical="center"/>
    </xf>
    <xf numFmtId="0" fontId="5" fillId="0" borderId="125" xfId="0" applyFont="1" applyBorder="1" applyAlignment="1">
      <alignment horizontal="center" vertical="center"/>
    </xf>
    <xf numFmtId="0" fontId="5" fillId="0" borderId="155" xfId="0" applyFont="1" applyBorder="1" applyAlignment="1">
      <alignment horizontal="center" vertical="center"/>
    </xf>
    <xf numFmtId="0" fontId="4" fillId="0" borderId="167" xfId="0" applyFont="1" applyBorder="1" applyAlignment="1">
      <alignment horizontal="center" vertical="center"/>
    </xf>
    <xf numFmtId="0" fontId="4" fillId="0" borderId="168" xfId="0" applyFont="1" applyBorder="1" applyAlignment="1">
      <alignment horizontal="center" vertical="center"/>
    </xf>
    <xf numFmtId="0" fontId="4" fillId="0" borderId="125" xfId="0" applyFont="1" applyBorder="1" applyAlignment="1">
      <alignment horizontal="center" vertical="center"/>
    </xf>
    <xf numFmtId="0" fontId="4" fillId="0" borderId="169" xfId="0" applyFont="1" applyBorder="1" applyAlignment="1">
      <alignment horizontal="center" vertical="center"/>
    </xf>
    <xf numFmtId="0" fontId="4" fillId="0" borderId="170" xfId="0" applyFont="1" applyBorder="1" applyAlignment="1">
      <alignment horizontal="center" vertical="center"/>
    </xf>
    <xf numFmtId="0" fontId="4" fillId="0" borderId="134" xfId="0" applyFont="1" applyBorder="1" applyAlignment="1">
      <alignment horizontal="center" vertical="center"/>
    </xf>
    <xf numFmtId="0" fontId="4" fillId="0" borderId="155" xfId="0" applyFont="1" applyBorder="1" applyAlignment="1">
      <alignment horizontal="center" vertical="center"/>
    </xf>
    <xf numFmtId="0" fontId="0" fillId="0" borderId="171" xfId="0" applyBorder="1" applyAlignment="1">
      <alignment horizontal="center"/>
    </xf>
    <xf numFmtId="0" fontId="0" fillId="0" borderId="125" xfId="0" applyBorder="1" applyAlignment="1">
      <alignment horizontal="center"/>
    </xf>
    <xf numFmtId="0" fontId="0" fillId="0" borderId="155" xfId="0" applyBorder="1" applyAlignment="1">
      <alignment horizontal="center"/>
    </xf>
    <xf numFmtId="0" fontId="5" fillId="0" borderId="134" xfId="0" applyFont="1" applyBorder="1" applyAlignment="1">
      <alignment horizontal="center" vertical="center"/>
    </xf>
    <xf numFmtId="0" fontId="5" fillId="0" borderId="149" xfId="0" applyFont="1" applyBorder="1" applyAlignment="1">
      <alignment horizontal="center" vertical="center"/>
    </xf>
    <xf numFmtId="0" fontId="5" fillId="0" borderId="171" xfId="0" applyFont="1" applyBorder="1" applyAlignment="1">
      <alignment horizontal="center" vertical="center"/>
    </xf>
    <xf numFmtId="0" fontId="5" fillId="0" borderId="172" xfId="0" applyFont="1" applyBorder="1" applyAlignment="1">
      <alignment horizontal="center" vertical="center"/>
    </xf>
    <xf numFmtId="0" fontId="4" fillId="0" borderId="165" xfId="0" applyFont="1" applyBorder="1" applyAlignment="1">
      <alignment horizontal="center" vertical="center"/>
    </xf>
    <xf numFmtId="0" fontId="11" fillId="0" borderId="125" xfId="0" applyFont="1" applyBorder="1" applyAlignment="1">
      <alignment horizontal="center" vertical="center" wrapText="1"/>
    </xf>
    <xf numFmtId="0" fontId="4" fillId="0" borderId="38" xfId="0" applyFont="1" applyBorder="1" applyAlignment="1">
      <alignment horizontal="center" vertical="center"/>
    </xf>
    <xf numFmtId="0" fontId="4" fillId="0" borderId="52"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4" fillId="0" borderId="166" xfId="0" applyFont="1" applyBorder="1" applyAlignment="1">
      <alignment horizontal="center" vertical="center"/>
    </xf>
    <xf numFmtId="0" fontId="11" fillId="0" borderId="146" xfId="0" applyFont="1" applyBorder="1" applyAlignment="1">
      <alignment horizontal="center" vertical="center" wrapText="1"/>
    </xf>
    <xf numFmtId="0" fontId="11" fillId="0" borderId="147" xfId="0" applyFont="1" applyBorder="1" applyAlignment="1">
      <alignment horizontal="center" vertical="center" wrapText="1"/>
    </xf>
    <xf numFmtId="0" fontId="0" fillId="0" borderId="9" xfId="0" applyBorder="1" applyAlignment="1">
      <alignment horizontal="center"/>
    </xf>
    <xf numFmtId="0" fontId="0" fillId="0" borderId="11" xfId="0" applyBorder="1" applyAlignment="1">
      <alignment horizontal="center"/>
    </xf>
    <xf numFmtId="0" fontId="0" fillId="0" borderId="146" xfId="0" applyBorder="1" applyAlignment="1">
      <alignment horizontal="center"/>
    </xf>
    <xf numFmtId="0" fontId="0" fillId="0" borderId="147" xfId="0" applyBorder="1" applyAlignment="1">
      <alignment horizontal="center"/>
    </xf>
    <xf numFmtId="0" fontId="21" fillId="6" borderId="91" xfId="0" applyFont="1" applyFill="1" applyBorder="1" applyAlignment="1">
      <alignment horizontal="left"/>
    </xf>
    <xf numFmtId="0" fontId="21" fillId="6" borderId="0" xfId="0" applyFont="1" applyFill="1" applyAlignment="1">
      <alignment horizontal="left"/>
    </xf>
    <xf numFmtId="0" fontId="4" fillId="0" borderId="0" xfId="0" applyFont="1" applyAlignment="1">
      <alignment horizontal="center"/>
    </xf>
    <xf numFmtId="0" fontId="5" fillId="0" borderId="54"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69" xfId="0" applyFont="1" applyBorder="1" applyAlignment="1">
      <alignment horizontal="center"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167" fontId="4" fillId="2" borderId="58" xfId="1" applyNumberFormat="1" applyFont="1" applyFill="1" applyBorder="1" applyAlignment="1">
      <alignment horizontal="center" vertical="center"/>
    </xf>
    <xf numFmtId="167" fontId="4" fillId="2" borderId="59" xfId="1" applyNumberFormat="1" applyFont="1" applyFill="1" applyBorder="1" applyAlignment="1">
      <alignment horizontal="center" vertical="center"/>
    </xf>
    <xf numFmtId="167" fontId="4" fillId="2" borderId="60" xfId="1" applyNumberFormat="1" applyFont="1" applyFill="1" applyBorder="1" applyAlignment="1">
      <alignment horizontal="center" vertical="center"/>
    </xf>
    <xf numFmtId="0" fontId="4" fillId="0" borderId="54" xfId="0" applyFont="1" applyBorder="1" applyAlignment="1">
      <alignment horizontal="center" vertical="center" wrapText="1"/>
    </xf>
    <xf numFmtId="0" fontId="4" fillId="0" borderId="69" xfId="0" applyFont="1" applyBorder="1" applyAlignment="1">
      <alignment horizontal="center" vertical="center" wrapText="1"/>
    </xf>
    <xf numFmtId="167" fontId="17" fillId="5" borderId="58" xfId="1" applyNumberFormat="1" applyFont="1" applyFill="1" applyBorder="1" applyAlignment="1" applyProtection="1">
      <alignment horizontal="center" vertical="center" wrapText="1"/>
      <protection hidden="1"/>
    </xf>
    <xf numFmtId="167" fontId="17" fillId="5" borderId="60" xfId="1" applyNumberFormat="1" applyFont="1" applyFill="1" applyBorder="1" applyAlignment="1" applyProtection="1">
      <alignment horizontal="center" vertical="center" wrapText="1"/>
      <protection hidden="1"/>
    </xf>
    <xf numFmtId="0" fontId="4" fillId="0" borderId="65" xfId="0" applyFont="1" applyBorder="1" applyAlignment="1">
      <alignment horizontal="center" vertical="center" wrapText="1"/>
    </xf>
    <xf numFmtId="0" fontId="4" fillId="0" borderId="73" xfId="0" applyFont="1" applyBorder="1" applyAlignment="1">
      <alignment horizontal="center" vertical="center" wrapText="1"/>
    </xf>
    <xf numFmtId="168" fontId="4" fillId="0" borderId="66" xfId="2" applyNumberFormat="1" applyFont="1" applyFill="1" applyBorder="1" applyAlignment="1">
      <alignment horizontal="center" vertical="center" wrapText="1"/>
    </xf>
    <xf numFmtId="168" fontId="4" fillId="0" borderId="74" xfId="2" applyNumberFormat="1" applyFont="1" applyFill="1" applyBorder="1" applyAlignment="1">
      <alignment horizontal="center" vertical="center" wrapText="1"/>
    </xf>
    <xf numFmtId="0" fontId="5" fillId="6" borderId="0" xfId="0" applyFont="1" applyFill="1" applyAlignment="1">
      <alignment horizontal="left" vertical="center" wrapText="1"/>
    </xf>
    <xf numFmtId="0" fontId="5" fillId="0" borderId="44" xfId="0" applyFont="1" applyBorder="1" applyAlignment="1">
      <alignment horizontal="right" vertical="center" wrapText="1"/>
    </xf>
    <xf numFmtId="0" fontId="5" fillId="0" borderId="10" xfId="0" applyFont="1" applyBorder="1" applyAlignment="1">
      <alignment horizontal="right" vertical="center" wrapText="1"/>
    </xf>
    <xf numFmtId="0" fontId="4" fillId="6" borderId="91" xfId="0" applyFont="1" applyFill="1" applyBorder="1" applyAlignment="1">
      <alignment horizontal="left" vertical="center"/>
    </xf>
    <xf numFmtId="0" fontId="4" fillId="6" borderId="0" xfId="0" applyFont="1" applyFill="1" applyAlignment="1">
      <alignment horizontal="left" vertical="center"/>
    </xf>
    <xf numFmtId="167" fontId="17" fillId="5" borderId="55" xfId="1" applyNumberFormat="1" applyFont="1" applyFill="1" applyBorder="1" applyAlignment="1" applyProtection="1">
      <alignment horizontal="center" vertical="center" wrapText="1"/>
      <protection hidden="1"/>
    </xf>
    <xf numFmtId="167" fontId="17" fillId="5" borderId="57" xfId="1" applyNumberFormat="1" applyFont="1" applyFill="1" applyBorder="1" applyAlignment="1" applyProtection="1">
      <alignment horizontal="center" vertical="center" wrapText="1"/>
      <protection hidden="1"/>
    </xf>
    <xf numFmtId="168" fontId="4" fillId="0" borderId="65" xfId="2" applyNumberFormat="1" applyFont="1" applyFill="1" applyBorder="1" applyAlignment="1">
      <alignment horizontal="center" vertical="center" wrapText="1"/>
    </xf>
    <xf numFmtId="168" fontId="4" fillId="0" borderId="73" xfId="2" applyNumberFormat="1" applyFont="1" applyFill="1" applyBorder="1" applyAlignment="1">
      <alignment horizontal="center" vertical="center" wrapText="1"/>
    </xf>
    <xf numFmtId="0" fontId="4" fillId="0" borderId="66"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91" xfId="0" applyFont="1" applyBorder="1" applyAlignment="1">
      <alignment horizontal="center" vertical="center"/>
    </xf>
    <xf numFmtId="0" fontId="4" fillId="0" borderId="0" xfId="0" applyFont="1" applyAlignment="1">
      <alignment horizontal="center" vertical="center"/>
    </xf>
    <xf numFmtId="0" fontId="4" fillId="0" borderId="92" xfId="0" applyFont="1" applyBorder="1" applyAlignment="1">
      <alignment horizontal="center" vertical="center"/>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4" fillId="9" borderId="9"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17" fillId="9" borderId="9" xfId="0" applyFont="1" applyFill="1" applyBorder="1" applyAlignment="1">
      <alignment horizontal="center" vertical="center" wrapText="1"/>
    </xf>
    <xf numFmtId="0" fontId="17" fillId="9" borderId="10" xfId="0" applyFont="1" applyFill="1" applyBorder="1" applyAlignment="1">
      <alignment horizontal="center" vertical="center" wrapText="1"/>
    </xf>
    <xf numFmtId="0" fontId="17" fillId="9" borderId="11" xfId="0" applyFont="1" applyFill="1" applyBorder="1" applyAlignment="1">
      <alignment horizontal="center"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168" fontId="4" fillId="0" borderId="67" xfId="2" applyNumberFormat="1" applyFont="1" applyFill="1" applyBorder="1" applyAlignment="1">
      <alignment horizontal="center" vertical="center" wrapText="1"/>
    </xf>
    <xf numFmtId="168" fontId="4" fillId="0" borderId="75" xfId="2" applyNumberFormat="1" applyFont="1" applyFill="1" applyBorder="1" applyAlignment="1">
      <alignment horizontal="center" vertical="center" wrapText="1"/>
    </xf>
    <xf numFmtId="0" fontId="4" fillId="0" borderId="62"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72" xfId="0" applyFont="1" applyBorder="1" applyAlignment="1">
      <alignment horizontal="center" vertical="center" wrapText="1"/>
    </xf>
    <xf numFmtId="0" fontId="10" fillId="0" borderId="9" xfId="0" applyFont="1" applyBorder="1" applyAlignment="1">
      <alignment horizontal="left"/>
    </xf>
    <xf numFmtId="0" fontId="10" fillId="0" borderId="10" xfId="0" applyFont="1" applyBorder="1" applyAlignment="1">
      <alignment horizontal="left"/>
    </xf>
    <xf numFmtId="0" fontId="10" fillId="0" borderId="11" xfId="0" applyFont="1" applyBorder="1" applyAlignment="1">
      <alignment horizontal="left"/>
    </xf>
    <xf numFmtId="0" fontId="10" fillId="0" borderId="36" xfId="0" applyFont="1" applyBorder="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165" fontId="5" fillId="0" borderId="81" xfId="2" applyFont="1" applyFill="1" applyBorder="1" applyAlignment="1">
      <alignment horizontal="center" vertical="center"/>
    </xf>
    <xf numFmtId="165" fontId="5" fillId="0" borderId="83" xfId="2" applyFont="1" applyFill="1" applyBorder="1" applyAlignment="1">
      <alignment horizontal="center" vertical="center"/>
    </xf>
    <xf numFmtId="165" fontId="5" fillId="0" borderId="47" xfId="2" applyFont="1" applyFill="1" applyBorder="1" applyAlignment="1">
      <alignment horizontal="center" vertical="center"/>
    </xf>
    <xf numFmtId="168" fontId="10" fillId="5" borderId="9" xfId="2" applyNumberFormat="1" applyFont="1" applyFill="1" applyBorder="1" applyAlignment="1" applyProtection="1">
      <alignment horizontal="center" vertical="center"/>
      <protection hidden="1"/>
    </xf>
    <xf numFmtId="168" fontId="10" fillId="5" borderId="11" xfId="2" applyNumberFormat="1" applyFont="1" applyFill="1" applyBorder="1" applyAlignment="1" applyProtection="1">
      <alignment horizontal="center" vertical="center"/>
      <protection hidden="1"/>
    </xf>
    <xf numFmtId="168" fontId="4" fillId="0" borderId="9" xfId="0" applyNumberFormat="1" applyFont="1" applyBorder="1" applyAlignment="1">
      <alignment horizontal="center" vertical="center"/>
    </xf>
    <xf numFmtId="168" fontId="4" fillId="0" borderId="10" xfId="0" applyNumberFormat="1" applyFont="1" applyBorder="1" applyAlignment="1">
      <alignment horizontal="center" vertical="center"/>
    </xf>
    <xf numFmtId="168" fontId="4" fillId="0" borderId="11" xfId="0" applyNumberFormat="1" applyFont="1" applyBorder="1" applyAlignment="1">
      <alignment horizontal="center" vertical="center"/>
    </xf>
    <xf numFmtId="0" fontId="4" fillId="0" borderId="50" xfId="0" applyFont="1" applyBorder="1" applyAlignment="1">
      <alignment horizontal="center" vertical="center" wrapText="1"/>
    </xf>
    <xf numFmtId="0" fontId="4" fillId="0" borderId="0" xfId="0" applyFont="1" applyAlignment="1">
      <alignment horizontal="center" vertical="center" wrapText="1"/>
    </xf>
    <xf numFmtId="0" fontId="4" fillId="0" borderId="52" xfId="0" applyFont="1" applyBorder="1" applyAlignment="1">
      <alignment horizontal="center" vertical="center" wrapText="1"/>
    </xf>
    <xf numFmtId="0" fontId="10" fillId="0" borderId="49" xfId="0" applyFont="1" applyBorder="1" applyAlignment="1" applyProtection="1">
      <alignment horizontal="center" vertical="center" wrapText="1"/>
      <protection locked="0"/>
    </xf>
    <xf numFmtId="0" fontId="10" fillId="0" borderId="90" xfId="0" applyFont="1" applyBorder="1" applyAlignment="1" applyProtection="1">
      <alignment horizontal="center" vertical="center" wrapText="1"/>
      <protection locked="0"/>
    </xf>
    <xf numFmtId="0" fontId="5" fillId="0" borderId="89" xfId="0" applyFont="1" applyBorder="1" applyAlignment="1" applyProtection="1">
      <alignment horizontal="left" vertical="center" wrapText="1"/>
      <protection locked="0"/>
    </xf>
    <xf numFmtId="0" fontId="4" fillId="5" borderId="88"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48"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9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8" xfId="0" applyFont="1" applyBorder="1" applyAlignment="1">
      <alignment horizontal="center" vertical="center"/>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22" fillId="0" borderId="0" xfId="0" applyFont="1" applyAlignment="1">
      <alignment horizontal="left" vertical="center"/>
    </xf>
    <xf numFmtId="0" fontId="5" fillId="0" borderId="0" xfId="0" applyFont="1" applyAlignment="1">
      <alignment horizontal="left" vertical="center" wrapText="1"/>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7" xfId="0" applyFont="1" applyFill="1" applyBorder="1" applyAlignment="1">
      <alignment horizontal="center" vertical="center"/>
    </xf>
    <xf numFmtId="0" fontId="4" fillId="0" borderId="2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9" xfId="0" applyFont="1" applyBorder="1" applyAlignment="1">
      <alignment horizontal="center" vertical="center"/>
    </xf>
    <xf numFmtId="0" fontId="4" fillId="0" borderId="31" xfId="0" applyFont="1" applyBorder="1" applyAlignment="1">
      <alignment horizontal="center" vertical="center"/>
    </xf>
    <xf numFmtId="0" fontId="4" fillId="0" borderId="14" xfId="0" applyFont="1" applyBorder="1" applyAlignment="1">
      <alignment horizontal="center" vertical="center" wrapText="1"/>
    </xf>
    <xf numFmtId="0" fontId="4" fillId="0" borderId="0" xfId="0" applyFont="1" applyAlignment="1">
      <alignment horizontal="left" vertical="center"/>
    </xf>
    <xf numFmtId="0" fontId="5" fillId="0" borderId="29" xfId="0" applyFont="1" applyBorder="1" applyAlignment="1" applyProtection="1">
      <alignment horizontal="center" vertical="center" wrapText="1"/>
      <protection locked="0"/>
    </xf>
    <xf numFmtId="0" fontId="4" fillId="0" borderId="50" xfId="0" applyFont="1" applyBorder="1" applyAlignment="1">
      <alignment horizontal="center" vertical="center"/>
    </xf>
    <xf numFmtId="0" fontId="4" fillId="0" borderId="90" xfId="0" applyFont="1" applyBorder="1" applyAlignment="1">
      <alignment horizontal="center" vertical="center"/>
    </xf>
    <xf numFmtId="0" fontId="4" fillId="0" borderId="32" xfId="0" applyFont="1" applyBorder="1" applyAlignment="1">
      <alignment horizontal="center" vertical="center"/>
    </xf>
    <xf numFmtId="0" fontId="4" fillId="0" borderId="39" xfId="0" applyFont="1" applyBorder="1" applyAlignment="1">
      <alignment horizontal="center" vertical="center"/>
    </xf>
    <xf numFmtId="0" fontId="10" fillId="0" borderId="13"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10" fillId="0" borderId="89" xfId="0" applyFont="1" applyBorder="1" applyAlignment="1" applyProtection="1">
      <alignment horizontal="left" vertical="center" wrapText="1"/>
      <protection locked="0"/>
    </xf>
    <xf numFmtId="0" fontId="17" fillId="0" borderId="85" xfId="0" applyFont="1" applyBorder="1" applyAlignment="1">
      <alignment horizontal="right" vertical="center" wrapText="1"/>
    </xf>
    <xf numFmtId="0" fontId="17" fillId="0" borderId="86" xfId="0" applyFont="1" applyBorder="1" applyAlignment="1">
      <alignment horizontal="right" vertical="center" wrapText="1"/>
    </xf>
    <xf numFmtId="0" fontId="17" fillId="0" borderId="87" xfId="0" applyFont="1" applyBorder="1" applyAlignment="1">
      <alignment horizontal="right" vertical="center" wrapText="1"/>
    </xf>
    <xf numFmtId="0" fontId="4" fillId="0" borderId="85" xfId="0" applyFont="1" applyBorder="1" applyAlignment="1">
      <alignment horizontal="right" vertical="center" wrapText="1"/>
    </xf>
    <xf numFmtId="0" fontId="4" fillId="0" borderId="86" xfId="0" applyFont="1" applyBorder="1" applyAlignment="1">
      <alignment horizontal="right" vertical="center" wrapText="1"/>
    </xf>
    <xf numFmtId="0" fontId="4" fillId="0" borderId="87" xfId="0" applyFont="1" applyBorder="1" applyAlignment="1">
      <alignment horizontal="right" vertical="center" wrapText="1"/>
    </xf>
    <xf numFmtId="0" fontId="5" fillId="0" borderId="40"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86" xfId="0" applyFont="1" applyBorder="1" applyAlignment="1">
      <alignment horizontal="center" vertical="center" wrapText="1"/>
    </xf>
    <xf numFmtId="0" fontId="4" fillId="8" borderId="88"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17" fillId="0" borderId="48" xfId="0" applyFont="1" applyBorder="1" applyAlignment="1">
      <alignment horizontal="center" vertical="center"/>
    </xf>
    <xf numFmtId="0" fontId="4" fillId="0" borderId="85" xfId="0" applyFont="1" applyBorder="1" applyAlignment="1">
      <alignment horizontal="center" vertical="center" wrapText="1"/>
    </xf>
    <xf numFmtId="0" fontId="4" fillId="0" borderId="86" xfId="0" applyFont="1" applyBorder="1" applyAlignment="1">
      <alignment horizontal="center" vertical="center" wrapText="1"/>
    </xf>
    <xf numFmtId="168" fontId="17" fillId="0" borderId="9" xfId="0" applyNumberFormat="1" applyFont="1" applyBorder="1" applyAlignment="1">
      <alignment horizontal="center" vertical="center"/>
    </xf>
    <xf numFmtId="168" fontId="17" fillId="0" borderId="10" xfId="0" applyNumberFormat="1" applyFont="1" applyBorder="1" applyAlignment="1">
      <alignment horizontal="center" vertical="center"/>
    </xf>
    <xf numFmtId="168" fontId="17" fillId="0" borderId="11" xfId="0" applyNumberFormat="1" applyFont="1" applyBorder="1" applyAlignment="1">
      <alignment horizontal="center" vertical="center"/>
    </xf>
    <xf numFmtId="0" fontId="17" fillId="5" borderId="88"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0" borderId="14" xfId="0" applyFont="1" applyBorder="1" applyAlignment="1">
      <alignment horizontal="center" vertical="center" wrapText="1"/>
    </xf>
    <xf numFmtId="0" fontId="17" fillId="0" borderId="80"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46" xfId="0" applyFont="1" applyBorder="1" applyAlignment="1">
      <alignment horizontal="center" vertical="center" wrapText="1"/>
    </xf>
    <xf numFmtId="165" fontId="10" fillId="0" borderId="81" xfId="2" applyFont="1" applyFill="1" applyBorder="1" applyAlignment="1">
      <alignment horizontal="center" vertical="center"/>
    </xf>
    <xf numFmtId="165" fontId="10" fillId="0" borderId="83" xfId="2" applyFont="1" applyFill="1" applyBorder="1" applyAlignment="1">
      <alignment horizontal="center" vertical="center"/>
    </xf>
    <xf numFmtId="165" fontId="10" fillId="0" borderId="47" xfId="2" applyFont="1" applyFill="1" applyBorder="1" applyAlignment="1">
      <alignment horizontal="center" vertical="center"/>
    </xf>
    <xf numFmtId="0" fontId="5" fillId="0" borderId="93" xfId="0" applyFont="1" applyBorder="1" applyAlignment="1">
      <alignment horizontal="left" vertical="center"/>
    </xf>
    <xf numFmtId="0" fontId="27" fillId="0" borderId="0" xfId="0" applyFont="1" applyAlignment="1">
      <alignment horizontal="center" vertical="center"/>
    </xf>
    <xf numFmtId="0" fontId="28" fillId="0" borderId="106" xfId="0" applyFont="1" applyBorder="1" applyAlignment="1">
      <alignment horizontal="center" vertical="center" wrapText="1"/>
    </xf>
    <xf numFmtId="0" fontId="28" fillId="0" borderId="108" xfId="0" applyFont="1" applyBorder="1" applyAlignment="1">
      <alignment horizontal="center" vertical="center" wrapText="1"/>
    </xf>
    <xf numFmtId="0" fontId="17" fillId="0" borderId="62" xfId="0" applyFont="1" applyBorder="1" applyAlignment="1">
      <alignment horizontal="center" vertical="center"/>
    </xf>
    <xf numFmtId="0" fontId="17" fillId="0" borderId="70" xfId="0" applyFont="1" applyBorder="1" applyAlignment="1">
      <alignment horizontal="center" vertical="center"/>
    </xf>
    <xf numFmtId="0" fontId="17" fillId="0" borderId="104" xfId="0" applyFont="1" applyBorder="1" applyAlignment="1">
      <alignment horizontal="center" vertical="center" wrapText="1"/>
    </xf>
    <xf numFmtId="0" fontId="17" fillId="0" borderId="105" xfId="0" applyFont="1" applyBorder="1" applyAlignment="1">
      <alignment horizontal="center" vertical="center" wrapText="1"/>
    </xf>
    <xf numFmtId="0" fontId="29" fillId="0" borderId="106" xfId="0" applyFont="1" applyBorder="1" applyAlignment="1">
      <alignment horizontal="center" vertical="center" wrapText="1"/>
    </xf>
    <xf numFmtId="0" fontId="29" fillId="0" borderId="108"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69" xfId="0" applyFont="1" applyBorder="1" applyAlignment="1">
      <alignment horizontal="center" vertical="center" wrapText="1"/>
    </xf>
    <xf numFmtId="0" fontId="4" fillId="5" borderId="58" xfId="0" applyFont="1" applyFill="1" applyBorder="1" applyAlignment="1">
      <alignment horizontal="center" vertical="center"/>
    </xf>
    <xf numFmtId="0" fontId="4" fillId="5" borderId="59" xfId="0" applyFont="1" applyFill="1" applyBorder="1" applyAlignment="1">
      <alignment horizontal="center" vertical="center"/>
    </xf>
    <xf numFmtId="168" fontId="5" fillId="2" borderId="102" xfId="0" applyNumberFormat="1" applyFont="1" applyFill="1" applyBorder="1" applyAlignment="1">
      <alignment horizontal="center" vertical="center"/>
    </xf>
    <xf numFmtId="168" fontId="5" fillId="2" borderId="103" xfId="0" applyNumberFormat="1" applyFont="1" applyFill="1" applyBorder="1" applyAlignment="1">
      <alignment horizontal="center" vertical="center"/>
    </xf>
    <xf numFmtId="168" fontId="5" fillId="2" borderId="75" xfId="0" applyNumberFormat="1" applyFont="1" applyFill="1" applyBorder="1" applyAlignment="1">
      <alignment horizontal="center" vertical="center"/>
    </xf>
    <xf numFmtId="0" fontId="4" fillId="0" borderId="112" xfId="0" applyFont="1" applyBorder="1" applyAlignment="1">
      <alignment horizontal="center" vertical="center"/>
    </xf>
    <xf numFmtId="0" fontId="4" fillId="0" borderId="73" xfId="0" applyFont="1" applyBorder="1" applyAlignment="1">
      <alignment horizontal="center" vertical="center"/>
    </xf>
    <xf numFmtId="0" fontId="28" fillId="0" borderId="98" xfId="0" applyFont="1" applyBorder="1" applyAlignment="1">
      <alignment horizontal="center" vertical="center"/>
    </xf>
    <xf numFmtId="0" fontId="28" fillId="0" borderId="99" xfId="0" applyFont="1" applyBorder="1" applyAlignment="1">
      <alignment horizontal="center" vertical="center"/>
    </xf>
    <xf numFmtId="0" fontId="29" fillId="0" borderId="100" xfId="0" applyFont="1" applyBorder="1" applyAlignment="1">
      <alignment horizontal="center" vertical="center"/>
    </xf>
    <xf numFmtId="0" fontId="29" fillId="0" borderId="101" xfId="0" applyFont="1" applyBorder="1" applyAlignment="1">
      <alignment horizontal="center" vertical="center"/>
    </xf>
    <xf numFmtId="0" fontId="17" fillId="0" borderId="95" xfId="0" applyFont="1" applyBorder="1" applyAlignment="1">
      <alignment horizontal="center" vertical="center" wrapText="1"/>
    </xf>
    <xf numFmtId="0" fontId="17" fillId="0" borderId="96" xfId="0" applyFont="1" applyBorder="1" applyAlignment="1">
      <alignment horizontal="center" vertical="center" wrapText="1"/>
    </xf>
    <xf numFmtId="0" fontId="17" fillId="0" borderId="97" xfId="0" applyFont="1" applyBorder="1" applyAlignment="1">
      <alignment horizontal="center" vertical="center" wrapText="1"/>
    </xf>
    <xf numFmtId="0" fontId="33" fillId="0" borderId="0" xfId="0" applyFont="1" applyAlignment="1">
      <alignment horizontal="center"/>
    </xf>
  </cellXfs>
  <cellStyles count="5">
    <cellStyle name="Hipervínculo" xfId="3" builtinId="8"/>
    <cellStyle name="Millares" xfId="1" builtinId="3"/>
    <cellStyle name="Moneda" xfId="2" builtinId="4"/>
    <cellStyle name="Normal" xfId="0" builtinId="0"/>
    <cellStyle name="Porcentaje" xfId="4" builtinId="5"/>
  </cellStyles>
  <dxfs count="1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70AD47"/>
      <color rgb="FFECF5E7"/>
      <color rgb="FFFFFAEB"/>
      <color rgb="FFD9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904875</xdr:colOff>
      <xdr:row>0</xdr:row>
      <xdr:rowOff>76200</xdr:rowOff>
    </xdr:from>
    <xdr:to>
      <xdr:col>0</xdr:col>
      <xdr:colOff>2019300</xdr:colOff>
      <xdr:row>1</xdr:row>
      <xdr:rowOff>285750</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76200"/>
          <a:ext cx="1114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FORMATOS%20PROGRAMAS%20VIE\formularioRegistroPropuestasInv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Tabla Personal"/>
      <sheetName val="Tablas Presupuesto Detallado"/>
      <sheetName val="Tabla Presupuesto Global"/>
      <sheetName val="Grupos-UIS"/>
      <sheetName val="Hoja1"/>
      <sheetName val="Listas"/>
      <sheetName val="Hoja2"/>
    </sheetNames>
    <sheetDataSet>
      <sheetData sheetId="0">
        <row r="5">
          <cell r="B5" t="str">
            <v>CAPITAL SEMILLA</v>
          </cell>
        </row>
      </sheetData>
      <sheetData sheetId="1">
        <row r="4">
          <cell r="O4">
            <v>816000</v>
          </cell>
        </row>
        <row r="5">
          <cell r="O5">
            <v>1336000</v>
          </cell>
        </row>
        <row r="6">
          <cell r="O6">
            <v>0</v>
          </cell>
        </row>
        <row r="7">
          <cell r="O7">
            <v>0</v>
          </cell>
        </row>
        <row r="8">
          <cell r="O8">
            <v>0</v>
          </cell>
        </row>
        <row r="9">
          <cell r="O9">
            <v>0</v>
          </cell>
        </row>
        <row r="10">
          <cell r="O10">
            <v>0</v>
          </cell>
        </row>
        <row r="11">
          <cell r="O11">
            <v>0</v>
          </cell>
        </row>
        <row r="12">
          <cell r="O12">
            <v>0</v>
          </cell>
        </row>
        <row r="13">
          <cell r="O13">
            <v>0</v>
          </cell>
        </row>
        <row r="14">
          <cell r="O14">
            <v>0</v>
          </cell>
        </row>
        <row r="15">
          <cell r="O15">
            <v>0</v>
          </cell>
        </row>
        <row r="16">
          <cell r="O16">
            <v>0</v>
          </cell>
        </row>
        <row r="17">
          <cell r="O17">
            <v>0</v>
          </cell>
        </row>
        <row r="18">
          <cell r="O18">
            <v>0</v>
          </cell>
        </row>
        <row r="19">
          <cell r="O19">
            <v>0</v>
          </cell>
        </row>
        <row r="20">
          <cell r="O20">
            <v>0</v>
          </cell>
        </row>
        <row r="21">
          <cell r="O21">
            <v>0</v>
          </cell>
        </row>
        <row r="22">
          <cell r="O22">
            <v>0</v>
          </cell>
        </row>
        <row r="23">
          <cell r="O23">
            <v>0</v>
          </cell>
        </row>
      </sheetData>
      <sheetData sheetId="2">
        <row r="96">
          <cell r="F96">
            <v>0</v>
          </cell>
        </row>
      </sheetData>
      <sheetData sheetId="3">
        <row r="6">
          <cell r="K6" t="str">
            <v>MODALIDAD MAYOR CUANTÍA</v>
          </cell>
        </row>
      </sheetData>
      <sheetData sheetId="4"/>
      <sheetData sheetId="5"/>
      <sheetData sheetId="6">
        <row r="2">
          <cell r="C2">
            <v>1</v>
          </cell>
        </row>
        <row r="3">
          <cell r="C3">
            <v>2</v>
          </cell>
        </row>
        <row r="4">
          <cell r="C4">
            <v>3</v>
          </cell>
        </row>
        <row r="5">
          <cell r="A5" t="str">
            <v>SI</v>
          </cell>
          <cell r="C5">
            <v>4</v>
          </cell>
        </row>
        <row r="6">
          <cell r="A6" t="str">
            <v>NO</v>
          </cell>
          <cell r="C6">
            <v>5</v>
          </cell>
        </row>
        <row r="7">
          <cell r="C7">
            <v>6</v>
          </cell>
        </row>
        <row r="8">
          <cell r="C8">
            <v>7</v>
          </cell>
        </row>
        <row r="9">
          <cell r="C9">
            <v>8</v>
          </cell>
        </row>
        <row r="10">
          <cell r="C10">
            <v>9</v>
          </cell>
        </row>
        <row r="11">
          <cell r="C11">
            <v>10</v>
          </cell>
        </row>
        <row r="22">
          <cell r="A22" t="str">
            <v>Asesor</v>
          </cell>
        </row>
        <row r="23">
          <cell r="A23" t="str">
            <v>Coinvestigador</v>
          </cell>
        </row>
        <row r="24">
          <cell r="A24" t="str">
            <v>Estudiante Doctorado</v>
          </cell>
        </row>
        <row r="25">
          <cell r="A25" t="str">
            <v>Estudiante Maestría</v>
          </cell>
        </row>
        <row r="26">
          <cell r="A26" t="str">
            <v>Estudiante Especialización</v>
          </cell>
        </row>
        <row r="27">
          <cell r="A27" t="str">
            <v>Estudiante Pregrado</v>
          </cell>
        </row>
        <row r="28">
          <cell r="A28" t="str">
            <v>Auxiliar de Investigación</v>
          </cell>
        </row>
        <row r="29">
          <cell r="A29" t="str">
            <v>Técnico</v>
          </cell>
        </row>
        <row r="30">
          <cell r="A30" t="str">
            <v>Profesional</v>
          </cell>
        </row>
        <row r="31">
          <cell r="A31" t="str">
            <v>Otro</v>
          </cell>
        </row>
        <row r="45">
          <cell r="A45" t="str">
            <v>MICROEMPRESAS</v>
          </cell>
        </row>
        <row r="46">
          <cell r="A46" t="str">
            <v>PyMES</v>
          </cell>
        </row>
        <row r="47">
          <cell r="A47" t="str">
            <v>GRANDES EMPRESAS</v>
          </cell>
        </row>
      </sheetData>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4"/>
  <sheetViews>
    <sheetView view="pageBreakPreview" topLeftCell="A20" zoomScale="84" zoomScaleNormal="100" zoomScaleSheetLayoutView="84" workbookViewId="0">
      <selection activeCell="E11" sqref="E11:J11"/>
    </sheetView>
  </sheetViews>
  <sheetFormatPr baseColWidth="10" defaultColWidth="11.453125" defaultRowHeight="14.5" x14ac:dyDescent="0.35"/>
  <cols>
    <col min="1" max="1" width="44.26953125" customWidth="1"/>
    <col min="2" max="2" width="11.81640625" customWidth="1"/>
    <col min="3" max="4" width="17.7265625" customWidth="1"/>
    <col min="5" max="5" width="23" customWidth="1"/>
    <col min="6" max="6" width="13" customWidth="1"/>
    <col min="7" max="7" width="21.81640625" customWidth="1"/>
    <col min="8" max="8" width="25.81640625" customWidth="1"/>
    <col min="9" max="9" width="14.1796875" customWidth="1"/>
    <col min="10" max="10" width="27.7265625" customWidth="1"/>
    <col min="11" max="11" width="11.453125" customWidth="1"/>
  </cols>
  <sheetData>
    <row r="1" spans="1:16" ht="33.75" customHeight="1" x14ac:dyDescent="0.35">
      <c r="A1" s="313"/>
      <c r="B1" s="343" t="s">
        <v>0</v>
      </c>
      <c r="C1" s="344"/>
      <c r="D1" s="344"/>
      <c r="E1" s="344"/>
      <c r="F1" s="344"/>
      <c r="G1" s="344"/>
      <c r="H1" s="345"/>
      <c r="I1" s="341" t="s">
        <v>337</v>
      </c>
      <c r="J1" s="342"/>
      <c r="K1" s="1"/>
      <c r="L1" s="1"/>
      <c r="M1" s="1"/>
      <c r="N1" s="1"/>
      <c r="O1" s="1"/>
      <c r="P1" s="1"/>
    </row>
    <row r="2" spans="1:16" ht="27" customHeight="1" x14ac:dyDescent="0.35">
      <c r="A2" s="314"/>
      <c r="B2" s="275" t="s">
        <v>1</v>
      </c>
      <c r="C2" s="276"/>
      <c r="D2" s="276"/>
      <c r="E2" s="276"/>
      <c r="F2" s="276"/>
      <c r="G2" s="276"/>
      <c r="H2" s="277"/>
      <c r="I2" s="284" t="s">
        <v>336</v>
      </c>
      <c r="J2" s="285"/>
      <c r="K2" s="1"/>
      <c r="L2" s="1"/>
      <c r="M2" s="1"/>
      <c r="N2" s="1"/>
      <c r="O2" s="1"/>
      <c r="P2" s="1"/>
    </row>
    <row r="3" spans="1:16" x14ac:dyDescent="0.35">
      <c r="A3" s="315"/>
      <c r="B3" s="315"/>
      <c r="C3" s="315"/>
      <c r="D3" s="315"/>
      <c r="E3" s="315"/>
      <c r="F3" s="315"/>
      <c r="G3" s="315"/>
      <c r="H3" s="315"/>
      <c r="I3" s="315"/>
      <c r="J3" s="315"/>
      <c r="K3" s="1"/>
      <c r="L3" s="1"/>
      <c r="M3" s="1"/>
      <c r="N3" s="1"/>
      <c r="O3" s="1"/>
      <c r="P3" s="1"/>
    </row>
    <row r="4" spans="1:16" x14ac:dyDescent="0.35">
      <c r="A4" s="316" t="s">
        <v>2</v>
      </c>
      <c r="B4" s="317"/>
      <c r="C4" s="317"/>
      <c r="D4" s="317"/>
      <c r="E4" s="317"/>
      <c r="F4" s="317"/>
      <c r="G4" s="317"/>
      <c r="H4" s="317"/>
      <c r="I4" s="317"/>
      <c r="J4" s="318"/>
      <c r="K4" s="1"/>
      <c r="L4" s="1"/>
      <c r="M4" s="1"/>
      <c r="O4" s="1"/>
      <c r="P4" s="1"/>
    </row>
    <row r="5" spans="1:16" ht="26" x14ac:dyDescent="0.35">
      <c r="A5" s="203" t="s">
        <v>3</v>
      </c>
      <c r="B5" s="304" t="s">
        <v>307</v>
      </c>
      <c r="C5" s="305"/>
      <c r="D5" s="305"/>
      <c r="E5" s="305"/>
      <c r="F5" s="305"/>
      <c r="G5" s="305"/>
      <c r="H5" s="305"/>
      <c r="I5" s="305"/>
      <c r="J5" s="305"/>
      <c r="K5" s="2"/>
      <c r="L5" s="1"/>
      <c r="M5" s="1"/>
      <c r="O5" s="1"/>
      <c r="P5" s="1"/>
    </row>
    <row r="6" spans="1:16" ht="26" x14ac:dyDescent="0.35">
      <c r="A6" s="202" t="s">
        <v>4</v>
      </c>
      <c r="B6" s="319" t="s">
        <v>314</v>
      </c>
      <c r="C6" s="320"/>
      <c r="D6" s="320"/>
      <c r="E6" s="321"/>
      <c r="F6" s="321"/>
      <c r="G6" s="321"/>
      <c r="H6" s="321"/>
      <c r="I6" s="321"/>
      <c r="J6" s="322"/>
      <c r="K6" s="2"/>
      <c r="L6" s="1"/>
      <c r="M6" s="1"/>
      <c r="O6" s="1"/>
      <c r="P6" s="1"/>
    </row>
    <row r="7" spans="1:16" ht="48" customHeight="1" x14ac:dyDescent="0.35">
      <c r="A7" s="359" t="s">
        <v>6</v>
      </c>
      <c r="B7" s="301" t="s">
        <v>7</v>
      </c>
      <c r="C7" s="302"/>
      <c r="D7" s="303"/>
      <c r="E7" s="323"/>
      <c r="F7" s="323"/>
      <c r="G7" s="323"/>
      <c r="H7" s="323"/>
      <c r="I7" s="324"/>
      <c r="J7" s="325"/>
      <c r="K7" s="1"/>
      <c r="L7" s="1"/>
      <c r="M7" s="1"/>
      <c r="O7" s="1"/>
      <c r="P7" s="1"/>
    </row>
    <row r="8" spans="1:16" ht="41.25" customHeight="1" x14ac:dyDescent="0.35">
      <c r="A8" s="352"/>
      <c r="B8" s="286" t="s">
        <v>8</v>
      </c>
      <c r="C8" s="287"/>
      <c r="D8" s="288"/>
      <c r="E8" s="326"/>
      <c r="F8" s="326"/>
      <c r="G8" s="326"/>
      <c r="H8" s="326"/>
      <c r="I8" s="327"/>
      <c r="J8" s="328"/>
      <c r="K8" s="1"/>
      <c r="L8" s="1"/>
      <c r="M8" s="1"/>
      <c r="O8" s="1"/>
      <c r="P8" s="1"/>
    </row>
    <row r="9" spans="1:16" ht="59.25" customHeight="1" x14ac:dyDescent="0.35">
      <c r="A9" s="352"/>
      <c r="B9" s="298" t="s">
        <v>9</v>
      </c>
      <c r="C9" s="299"/>
      <c r="D9" s="300"/>
      <c r="E9" s="361"/>
      <c r="F9" s="362"/>
      <c r="G9" s="362"/>
      <c r="H9" s="362"/>
      <c r="I9" s="362"/>
      <c r="J9" s="363"/>
      <c r="K9" s="2"/>
      <c r="L9" s="1"/>
      <c r="M9" s="1"/>
      <c r="O9" s="1"/>
      <c r="P9" s="1"/>
    </row>
    <row r="10" spans="1:16" ht="73.5" customHeight="1" x14ac:dyDescent="0.35">
      <c r="A10" s="352"/>
      <c r="B10" s="286" t="s">
        <v>10</v>
      </c>
      <c r="C10" s="287"/>
      <c r="D10" s="288"/>
      <c r="E10" s="361"/>
      <c r="F10" s="362"/>
      <c r="G10" s="362"/>
      <c r="H10" s="362"/>
      <c r="I10" s="362"/>
      <c r="J10" s="363"/>
      <c r="K10" s="1"/>
      <c r="L10" s="1"/>
      <c r="M10" s="1"/>
      <c r="O10" s="1"/>
      <c r="P10" s="1"/>
    </row>
    <row r="11" spans="1:16" ht="86.25" customHeight="1" x14ac:dyDescent="0.35">
      <c r="A11" s="352"/>
      <c r="B11" s="286" t="s">
        <v>319</v>
      </c>
      <c r="C11" s="287"/>
      <c r="D11" s="288"/>
      <c r="E11" s="361"/>
      <c r="F11" s="362"/>
      <c r="G11" s="362"/>
      <c r="H11" s="362"/>
      <c r="I11" s="362"/>
      <c r="J11" s="363"/>
      <c r="K11" s="2"/>
      <c r="L11" s="1"/>
      <c r="M11" s="1"/>
      <c r="N11" s="1"/>
      <c r="O11" s="1"/>
      <c r="P11" s="1"/>
    </row>
    <row r="12" spans="1:16" ht="69" customHeight="1" x14ac:dyDescent="0.35">
      <c r="A12" s="352"/>
      <c r="B12" s="286" t="s">
        <v>11</v>
      </c>
      <c r="C12" s="287"/>
      <c r="D12" s="288"/>
      <c r="E12" s="361"/>
      <c r="F12" s="362"/>
      <c r="G12" s="362"/>
      <c r="H12" s="362"/>
      <c r="I12" s="362"/>
      <c r="J12" s="363"/>
      <c r="K12" s="2"/>
      <c r="L12" s="1"/>
      <c r="M12" s="1"/>
      <c r="N12" s="1"/>
      <c r="O12" s="1"/>
      <c r="P12" s="1"/>
    </row>
    <row r="13" spans="1:16" ht="69" customHeight="1" x14ac:dyDescent="0.35">
      <c r="A13" s="352"/>
      <c r="B13" s="286" t="s">
        <v>317</v>
      </c>
      <c r="C13" s="287"/>
      <c r="D13" s="288"/>
      <c r="E13" s="361"/>
      <c r="F13" s="362"/>
      <c r="G13" s="362"/>
      <c r="H13" s="362"/>
      <c r="I13" s="362"/>
      <c r="J13" s="363"/>
      <c r="K13" s="1"/>
      <c r="L13" s="1"/>
      <c r="M13" s="1"/>
      <c r="N13" s="1"/>
      <c r="O13" s="1"/>
      <c r="P13" s="1"/>
    </row>
    <row r="14" spans="1:16" ht="79.5" customHeight="1" x14ac:dyDescent="0.35">
      <c r="A14" s="352"/>
      <c r="B14" s="289" t="s">
        <v>12</v>
      </c>
      <c r="C14" s="290"/>
      <c r="D14" s="291"/>
      <c r="E14" s="326"/>
      <c r="F14" s="326"/>
      <c r="G14" s="326"/>
      <c r="H14" s="326"/>
      <c r="I14" s="327"/>
      <c r="J14" s="328"/>
      <c r="K14" s="1"/>
      <c r="L14" s="1"/>
      <c r="M14" s="1"/>
      <c r="N14" s="1"/>
      <c r="O14" s="1"/>
      <c r="P14" s="1"/>
    </row>
    <row r="15" spans="1:16" ht="41.25" customHeight="1" x14ac:dyDescent="0.35">
      <c r="A15" s="352"/>
      <c r="B15" s="286" t="s">
        <v>13</v>
      </c>
      <c r="C15" s="287"/>
      <c r="D15" s="288"/>
      <c r="E15" s="326"/>
      <c r="F15" s="326"/>
      <c r="G15" s="326"/>
      <c r="H15" s="326"/>
      <c r="I15" s="327"/>
      <c r="J15" s="328"/>
      <c r="K15" s="1" t="str">
        <f>IF(((B6="MODALIDAD MAYOR CUANTÍA")*AND(E16&gt;36)),"Duración máxima Modalidad Mayor Cuantía: 36 meses", IF(((OR(B6="CAPITAL SEMILLA",B6="ABIERTA O LIBRE SIN FINANCIACIÓN"))*AND(E16&gt;12)),"Duración Máxima Modalidad: 12 Meses", IF(((B6="ABIERTA O LIBRE CON FINANCIACIÓN")*AND(E16&gt;18)),"Duración máxima Modalidad Abierta con financiación: 18 meses","")))</f>
        <v/>
      </c>
      <c r="L15" s="1"/>
      <c r="M15" s="1"/>
      <c r="N15" s="1"/>
      <c r="O15" s="1"/>
      <c r="P15" s="1"/>
    </row>
    <row r="16" spans="1:16" ht="28.5" customHeight="1" x14ac:dyDescent="0.35">
      <c r="A16" s="360"/>
      <c r="B16" s="292" t="s">
        <v>14</v>
      </c>
      <c r="C16" s="293"/>
      <c r="D16" s="294"/>
      <c r="E16" s="243"/>
      <c r="F16" s="369" t="s">
        <v>15</v>
      </c>
      <c r="G16" s="369"/>
      <c r="H16" s="369"/>
      <c r="I16" s="369"/>
      <c r="J16" s="370"/>
      <c r="K16" s="1"/>
      <c r="L16" s="1"/>
      <c r="M16" s="1"/>
      <c r="N16" s="1"/>
      <c r="O16" s="1"/>
      <c r="P16" s="1"/>
    </row>
    <row r="17" spans="1:17" ht="27.75" customHeight="1" x14ac:dyDescent="0.35">
      <c r="A17" s="359" t="s">
        <v>16</v>
      </c>
      <c r="B17" s="295" t="s">
        <v>17</v>
      </c>
      <c r="C17" s="296"/>
      <c r="D17" s="297"/>
      <c r="E17" s="306"/>
      <c r="F17" s="307"/>
      <c r="G17" s="308"/>
      <c r="H17" s="308"/>
      <c r="I17" s="309"/>
      <c r="J17" s="310"/>
      <c r="K17" s="1"/>
      <c r="L17" s="1"/>
      <c r="M17" s="1"/>
      <c r="N17" s="1"/>
      <c r="O17" s="1"/>
      <c r="P17" s="1"/>
    </row>
    <row r="18" spans="1:17" ht="25.5" customHeight="1" x14ac:dyDescent="0.35">
      <c r="A18" s="352"/>
      <c r="B18" s="338" t="s">
        <v>18</v>
      </c>
      <c r="C18" s="339"/>
      <c r="D18" s="340"/>
      <c r="E18" s="329"/>
      <c r="F18" s="330"/>
      <c r="G18" s="371" t="s">
        <v>19</v>
      </c>
      <c r="H18" s="372"/>
      <c r="I18" s="280"/>
      <c r="J18" s="281"/>
      <c r="K18" s="1"/>
      <c r="L18" s="1"/>
      <c r="M18" s="1"/>
      <c r="N18" s="1"/>
      <c r="O18" s="1"/>
      <c r="P18" s="1"/>
    </row>
    <row r="19" spans="1:17" ht="42.75" customHeight="1" x14ac:dyDescent="0.35">
      <c r="A19" s="352"/>
      <c r="B19" s="366" t="s">
        <v>320</v>
      </c>
      <c r="C19" s="367"/>
      <c r="D19" s="368"/>
      <c r="E19" s="364"/>
      <c r="F19" s="365"/>
      <c r="G19" s="278" t="s">
        <v>20</v>
      </c>
      <c r="H19" s="279"/>
      <c r="I19" s="282"/>
      <c r="J19" s="283"/>
      <c r="K19" s="312"/>
      <c r="L19" s="312"/>
      <c r="M19" s="312"/>
      <c r="N19" s="312"/>
      <c r="O19" s="312"/>
      <c r="P19" s="312"/>
      <c r="Q19" s="312"/>
    </row>
    <row r="20" spans="1:17" ht="41.25" customHeight="1" x14ac:dyDescent="0.35">
      <c r="A20" s="351" t="s">
        <v>21</v>
      </c>
      <c r="B20" s="295" t="s">
        <v>22</v>
      </c>
      <c r="C20" s="296"/>
      <c r="D20" s="297"/>
      <c r="E20" s="353">
        <f>'Presupuesto global'!D41</f>
        <v>0</v>
      </c>
      <c r="F20" s="354"/>
      <c r="G20" s="354"/>
      <c r="H20" s="354"/>
      <c r="I20" s="354"/>
      <c r="J20" s="355"/>
      <c r="K20" s="3" t="str">
        <f>IF(((B6="MODALIDAD MAYOR CUANTÍA")*AND(E20&gt;150000000)),"Excede el monto máximo financiable para Modalidad Mayor cuantía", IF(((B6="ABIERTA O LIBRE CON FINANCIACIÓN")*AND(E20&gt;35000000)),"Excede el monto máximo financiable para Modalidad Libre con financiación", IF(((B6="ABIERTA O LIBRE SIN FINANCIACIÓN")*AND(E20&gt;0)),"No aplica financiación para esta modalidad",IF(((B6="CAPITAL SEMILLA")*AND(E20&gt;25000000)),"Excede el Monto Máximo financiable",""))))</f>
        <v/>
      </c>
      <c r="L20" s="3"/>
      <c r="M20" s="3"/>
      <c r="N20" s="3"/>
      <c r="O20" s="3"/>
      <c r="P20" s="1"/>
    </row>
    <row r="21" spans="1:17" ht="30.75" customHeight="1" x14ac:dyDescent="0.35">
      <c r="A21" s="352"/>
      <c r="B21" s="286" t="s">
        <v>23</v>
      </c>
      <c r="C21" s="287"/>
      <c r="D21" s="288"/>
      <c r="E21" s="332">
        <f>'Presupuesto global'!D42</f>
        <v>0</v>
      </c>
      <c r="F21" s="333"/>
      <c r="G21" s="333"/>
      <c r="H21" s="333"/>
      <c r="I21" s="333"/>
      <c r="J21" s="334"/>
      <c r="K21" s="1"/>
      <c r="L21" s="1"/>
      <c r="M21" s="1"/>
      <c r="N21" s="1"/>
      <c r="O21" s="1"/>
      <c r="P21" s="1"/>
    </row>
    <row r="22" spans="1:17" ht="39" customHeight="1" x14ac:dyDescent="0.35">
      <c r="A22" s="352"/>
      <c r="B22" s="286" t="s">
        <v>24</v>
      </c>
      <c r="C22" s="287"/>
      <c r="D22" s="288"/>
      <c r="E22" s="332">
        <f>'Presupuesto global'!D43</f>
        <v>0</v>
      </c>
      <c r="F22" s="333"/>
      <c r="G22" s="333"/>
      <c r="H22" s="333"/>
      <c r="I22" s="333"/>
      <c r="J22" s="334"/>
      <c r="K22" s="331"/>
      <c r="L22" s="3"/>
      <c r="M22" s="3"/>
      <c r="N22" s="3"/>
      <c r="O22" s="3"/>
      <c r="P22" s="1"/>
    </row>
    <row r="23" spans="1:17" ht="38.25" customHeight="1" x14ac:dyDescent="0.35">
      <c r="A23" s="352"/>
      <c r="B23" s="298" t="s">
        <v>25</v>
      </c>
      <c r="C23" s="299"/>
      <c r="D23" s="300"/>
      <c r="E23" s="332">
        <f>'Presupuesto global'!D44</f>
        <v>0</v>
      </c>
      <c r="F23" s="333"/>
      <c r="G23" s="333"/>
      <c r="H23" s="333"/>
      <c r="I23" s="333"/>
      <c r="J23" s="334"/>
      <c r="K23" s="331"/>
      <c r="L23" s="3"/>
      <c r="M23" s="3"/>
      <c r="N23" s="3"/>
      <c r="O23" s="3"/>
      <c r="P23" s="1"/>
    </row>
    <row r="24" spans="1:17" ht="28.5" customHeight="1" x14ac:dyDescent="0.35">
      <c r="A24" s="352"/>
      <c r="B24" s="292" t="s">
        <v>26</v>
      </c>
      <c r="C24" s="293"/>
      <c r="D24" s="294"/>
      <c r="E24" s="335">
        <f>'Presupuesto global'!E45</f>
        <v>0</v>
      </c>
      <c r="F24" s="336"/>
      <c r="G24" s="336"/>
      <c r="H24" s="336"/>
      <c r="I24" s="336"/>
      <c r="J24" s="337"/>
      <c r="K24" s="4"/>
      <c r="L24" s="5"/>
      <c r="M24" s="5"/>
      <c r="N24" s="5"/>
      <c r="O24" s="5"/>
      <c r="P24" s="5"/>
    </row>
    <row r="25" spans="1:17" ht="15" customHeight="1" x14ac:dyDescent="0.35">
      <c r="A25" s="186"/>
      <c r="B25" s="187"/>
      <c r="C25" s="187"/>
      <c r="D25" s="187"/>
      <c r="E25" s="187"/>
      <c r="F25" s="187"/>
      <c r="G25" s="187"/>
      <c r="H25" s="187"/>
      <c r="I25" s="187"/>
      <c r="J25" s="188"/>
      <c r="K25" s="1"/>
      <c r="L25" s="5"/>
      <c r="M25" s="5"/>
      <c r="N25" s="5"/>
      <c r="O25" s="5"/>
      <c r="P25" s="5"/>
    </row>
    <row r="26" spans="1:17" ht="15.5" x14ac:dyDescent="0.35">
      <c r="A26" s="356" t="s">
        <v>27</v>
      </c>
      <c r="B26" s="357"/>
      <c r="C26" s="357"/>
      <c r="D26" s="357"/>
      <c r="E26" s="357"/>
      <c r="F26" s="357"/>
      <c r="G26" s="357"/>
      <c r="H26" s="357"/>
      <c r="I26" s="357"/>
      <c r="J26" s="358"/>
    </row>
    <row r="27" spans="1:17" ht="219" customHeight="1" x14ac:dyDescent="0.35">
      <c r="A27" s="346" t="str">
        <f>IF(AND(B5="CONVOCATORIA MISIÓN 6.0: SINERGIAS CAMPO - CIUDAD: CERRANDO BRECHAS",B6="INVESTIGACIÓN CIENTÍFICA BÁSICA "),Listas!A19,IF(AND(B5="CONVOCATORIA MISIÓN 6.0: ALIMENTOS Y AGUA PARA SUSTENTAR LA VIDA",B6="INVESTIGACIÓN CIENTÍFICA BÁSICA "),Listas!A19,IF(AND(B5="CONVOCATORIA MISIÓN 6.0: TRANSICIÓN ENERGÉTICA Y DIVERSIFICACIÓN PRODUCTIVA SOSTENIBLE",B6="INVESTIGACIÓN CIENTÍFICA BÁSICA "),Listas!A19,IF(AND(B5="CONVOCATORIA MISIÓN 6.0: EDUCACIÓN DE CALIDAD, VIDA SANA Y CONVIVENCIA EN DEMOCRACIA",B6="INVESTIGACIÓN CIENTÍFICA BÁSICA "),Listas!A19,IF(AND(B5="CONVOCATORIA MISIÓN 6.0: RECONCILIANDO AL HUMANO CON LA NATURALEZA",B6="INVESTIGACIÓN CIENTÍFICA BÁSICA "),Listas!A19, IF(AND(B5="CONVOCATORIA MISIÓN 6.0: SINERGIAS CAMPO - CIUDAD: CERRANDO BRECHAS",B6="PROGRAMA ESTRATEGICO DE INVESTIGACIÓN CIENTÍFICA APLICADA O PROYECTOS DE DESARROLLO EXPERIMENTAL TIPO 1"),Listas!A20,IF(AND(B5="CONVOCATORIA MISIÓN 6.0: ALIMENTOS Y AGUA PARA SUSTENTAR LA VIDA",B6="PROGRAMA ESTRATEGICO DE INVESTIGACIÓN CIENTÍFICA APLICADA O PROYECTOS DE DESARROLLO EXPERIMENTAL TIPO 1"),Listas!A20,IF(AND(B5="CONVOCATORIA MISIÓN 6.0: TRANSICIÓN ENERGÉTICA Y DIVERSIFICACIÓN PRODUCTIVA SOSTENIBLE",B6="PROGRAMA ESTRATEGICO DE INVESTIGACIÓN CIENTÍFICA APLICADA O PROYECTOS DE DESARROLLO EXPERIMENTAL TIPO 1"),Listas!A20,IF(AND(B5="CONVOCATORIA MISIÓN 6.0: EDUCACIÓN DE CALIDAD, VIDA SANA Y CONVIVENCIA EN DEMOCRACIA",B6="PROGRAMA ESTRATEGICO DE INVESTIGACIÓN CIENTÍFICA APLICADA O PROYECTOS DE DESARROLLO EXPERIMENTAL TIPO 1"),Listas!A20,IF(AND(B5="CONVOCATORIA MISIÓN 6.0: RECONCILIANDO AL HUMANO CON LA NATURALEZA",B6="PROGRAMA ESTRATEGICO DE INVESTIGACIÓN CIENTÍFICA APLICADA O PROYECTOS DE DESARROLLO EXPERIMENTAL TIPO 1"),Listas!A20,IF(AND(B5="CONVOCATORIA MISIÓN 6.0: SINERGIAS CAMPO - CIUDAD: CERRANDO BRECHAS",B6="PROGRAMA ESTRATEGICO DE INVESTIGACIÓN CIENTÍFICA APLICADA O PROYECTOS DE DESARROLLO EXPERIMENTAL TIPO 2"),Listas!A21,IF(AND(B5="CONVOCATORIA MISIÓN 6.0: ALIMENTOS Y AGUA PARA SUSTENTAR LA VIDA",B6="PROGRAMA ESTRATEGICO DE INVESTIGACIÓN CIENTÍFICA APLICADA O PROYECTOS DE DESARROLLO EXPERIMENTAL TIPO 2"),Listas!A21,IF(AND(B5="CONVOCATORIA MISIÓN 6.0: TRANSICIÓN ENERGÉTICA Y DIVERSIFICACIÓN PRODUCTIVA SOSTENIBLE",B6="PROGRAMA ESTRATEGICO DE INVESTIGACIÓN CIENTÍFICA APLICADA O PROYECTOS DE DESARROLLO EXPERIMENTAL TIPO 2"),Listas!A21,IF(AND(B5="CONVOCATORIA MISIÓN 6.0: EDUCACIÓN DE CALIDAD, VIDA SANA Y CONVIVENCIA EN DEMOCRACIA",B6="PROGRAMA ESTRATEGICO DE INVESTIGACIÓN CIENTÍFICA APLICADA O PROYECTOS DE DESARROLLO EXPERIMENTAL TIPO 2"),Listas!A21,IF(AND(B5="CONVOCATORIA MISIÓN 6.0: RECONCILIANDO AL HUMANO CON LA NATURALEZA",B6="PROGRAMA ESTRATEGICO DE INVESTIGACIÓN CIENTÍFICA APLICADA O PROYECTOS DE DESARROLLO EXPERIMENTAL TIPO 2"),Listas!A21,IF(B5="CONVOCATORIA DE INVESTIGACIÓN GENERANDO ESPÍRITU CIENTÍFICO",Listas!A25,IF(B5="CONVOCATORIA INVESTIGACIÓN CIENTÍFICA BÁSICA GENERAL ",Listas!A26,IF(B5="CONVOCATORIA DE INVESTIGACIÓN POR NUESTRO BIEN-ESTAR",Listas!A24,IF(B5="ASIGNACIÓN DE APOYO A DOCENTES EN PERIODO DE PRUEBA",Listas!A27,"SELECCIONE EL NOMBRE DE LA CONVOCATORIA Y NOMBRE CORRECTO DE LA MODALIDAD O EN SU DEFECTO SELECCIONE NO APLICA -SEGUN SEA EL CASO DE LA CONVOCATORIA QUE SELECCIONÓ-")))))))))))))))))))</f>
        <v>• Presentar a la Dirección de Investigación y Extensión de la Facultad (DIEF) en la que se suscribió el acta de inicio, un informe de avance a la mitad del periodo de ejecución y el informe final a la terminación del proyecto (Formulario FIN.51). Se debe incluir en el informe una descripción de las actividades de apropiación social del conocimiento y divulgación publica de la ciencia que se realizaron en el desarrollo del proyecto.
• Transcurrido el 50% del tiempo de ejecución del proyecto, la ejecución presupuestal deberá ser mínimo del 40% del valor total aprobado; en caso contrario, el equipo de investigación quedará inhabilitado para presentar propuestas a las convocatorias del Portafolio VIE del siguiente año. Nota 1: Para este caso, las prórrogas no se suman al tiempo de ejecución del proyecto inicialmente aprobado.
• Hasta un año después de finalizado el proyecto, deberá completar un total de 15 puntos en productos académicos de acuerdo con la Tabla en el documento Términos de referencia “Plan de fortalecimiento de Investigación y Extensión 2025”. Por lo menos uno de los productos entregados debe corresponder a un producto de generación de nuevo conocimiento relacionado con la temática del proyecto.  Para el caso de docentes de la Escuela de Artes, este requisito puede ser cumplido con los productos artísticos marcados con asterisco en la Tabla. En todos los productos obtenidos (artículos, ponencias, software, trabajos de grado, tesis, etc.), es necesario dar crédito a la Universidad Industrial de Santander, indicando claramente la filiación institucional y el código o título del proyecto financiado de donde deriva el producto. La filiación a la Universidad debe indicarse como “Universidad Industrial de Santander”, independientemente del idioma en que esté escrito. 
• Adicionalmente, hasta un año después de finalizado el proyecto, se deberá someter una propuesta de investigación o extensión a una entidad externa, que ofrezca financiación. En el caso de propuesta de investigación, ésta debe estar debidamente avalada por el Comité Operativo de Investigación y Extensión. En el caso de las propuestas de extensión, se debe cumplir con lo establecido en el Acuerdo 103 de 2010. Este compromiso es obligatorio y no es homologable.</v>
      </c>
      <c r="B27" s="347"/>
      <c r="C27" s="347"/>
      <c r="D27" s="347"/>
      <c r="E27" s="347"/>
      <c r="F27" s="347"/>
      <c r="G27" s="347"/>
      <c r="H27" s="347"/>
      <c r="I27" s="347"/>
      <c r="J27" s="348"/>
      <c r="M27" s="6"/>
    </row>
    <row r="28" spans="1:17" x14ac:dyDescent="0.35">
      <c r="A28" s="8"/>
      <c r="B28" s="9"/>
      <c r="C28" s="9"/>
      <c r="D28" s="9"/>
      <c r="E28" s="9"/>
      <c r="F28" s="9"/>
      <c r="G28" s="9"/>
      <c r="H28" s="9"/>
      <c r="I28" s="9"/>
      <c r="J28" s="10"/>
      <c r="K28" s="7"/>
      <c r="L28" s="7"/>
      <c r="M28" s="7"/>
      <c r="N28" s="7"/>
      <c r="O28" s="7"/>
      <c r="P28" s="7"/>
    </row>
    <row r="29" spans="1:17" x14ac:dyDescent="0.35">
      <c r="A29" s="8"/>
      <c r="B29" s="9"/>
      <c r="C29" s="9"/>
      <c r="D29" s="9"/>
      <c r="E29" s="9"/>
      <c r="F29" s="9"/>
      <c r="G29" s="9"/>
      <c r="H29" s="9"/>
      <c r="I29" s="9"/>
      <c r="J29" s="10"/>
      <c r="K29" s="7"/>
      <c r="L29" s="7"/>
      <c r="M29" s="7"/>
      <c r="N29" s="7"/>
      <c r="O29" s="7"/>
      <c r="P29" s="7"/>
    </row>
    <row r="30" spans="1:17" x14ac:dyDescent="0.35">
      <c r="A30" s="8"/>
      <c r="B30" s="9"/>
      <c r="C30" s="9"/>
      <c r="D30" s="9"/>
      <c r="E30" s="9"/>
      <c r="F30" s="9"/>
      <c r="G30" s="9"/>
      <c r="H30" s="9"/>
      <c r="I30" s="9"/>
      <c r="J30" s="7"/>
      <c r="K30" s="7"/>
      <c r="L30" s="7"/>
      <c r="M30" s="7"/>
      <c r="N30" s="7"/>
      <c r="O30" s="7"/>
      <c r="P30" s="7"/>
    </row>
    <row r="31" spans="1:17" ht="78.75" customHeight="1" x14ac:dyDescent="0.35">
      <c r="A31" s="208" t="s">
        <v>28</v>
      </c>
      <c r="B31" s="373" t="s">
        <v>29</v>
      </c>
      <c r="C31" s="390"/>
      <c r="D31" s="241" t="s">
        <v>30</v>
      </c>
      <c r="E31" s="247" t="s">
        <v>31</v>
      </c>
      <c r="F31" s="242" t="s">
        <v>32</v>
      </c>
      <c r="G31" s="349" t="s">
        <v>33</v>
      </c>
      <c r="H31" s="349"/>
      <c r="I31" s="209" t="s">
        <v>34</v>
      </c>
      <c r="J31" s="210" t="s">
        <v>35</v>
      </c>
      <c r="K31" s="211" t="s">
        <v>36</v>
      </c>
      <c r="N31" s="1"/>
      <c r="O31" s="1"/>
      <c r="P31" s="1"/>
    </row>
    <row r="32" spans="1:17" ht="37.5" customHeight="1" x14ac:dyDescent="0.35">
      <c r="A32" s="212" t="s">
        <v>37</v>
      </c>
      <c r="B32" s="392"/>
      <c r="C32" s="393"/>
      <c r="D32" s="242"/>
      <c r="E32" s="253"/>
      <c r="F32" s="244"/>
      <c r="G32" s="349"/>
      <c r="H32" s="349"/>
      <c r="I32" s="254"/>
      <c r="J32" s="205"/>
      <c r="K32" s="213"/>
      <c r="N32" s="1"/>
      <c r="O32" s="1"/>
      <c r="P32" s="1"/>
    </row>
    <row r="33" spans="1:16" ht="37.5" customHeight="1" x14ac:dyDescent="0.35">
      <c r="A33" s="212" t="s">
        <v>38</v>
      </c>
      <c r="B33" s="394"/>
      <c r="C33" s="395"/>
      <c r="D33" s="245"/>
      <c r="E33" s="248"/>
      <c r="F33" s="251"/>
      <c r="G33" s="350"/>
      <c r="H33" s="350"/>
      <c r="I33" s="255"/>
      <c r="J33" s="206"/>
      <c r="K33" s="214"/>
    </row>
    <row r="34" spans="1:16" ht="37.5" customHeight="1" x14ac:dyDescent="0.35">
      <c r="A34" s="212" t="s">
        <v>39</v>
      </c>
      <c r="B34" s="394"/>
      <c r="C34" s="395"/>
      <c r="D34" s="239"/>
      <c r="E34" s="249"/>
      <c r="F34" s="252"/>
      <c r="G34" s="391"/>
      <c r="H34" s="391"/>
      <c r="I34" s="255"/>
      <c r="J34" s="206"/>
      <c r="K34" s="214"/>
    </row>
    <row r="35" spans="1:16" ht="37.5" customHeight="1" x14ac:dyDescent="0.35">
      <c r="A35" s="212" t="s">
        <v>40</v>
      </c>
      <c r="B35" s="399"/>
      <c r="C35" s="400"/>
      <c r="D35" s="238"/>
      <c r="E35" s="249"/>
      <c r="F35" s="252"/>
      <c r="G35" s="391"/>
      <c r="H35" s="391"/>
      <c r="I35" s="256"/>
      <c r="J35" s="207"/>
      <c r="K35" s="215"/>
      <c r="L35" s="1"/>
    </row>
    <row r="36" spans="1:16" ht="37.5" customHeight="1" x14ac:dyDescent="0.35">
      <c r="A36" s="212" t="s">
        <v>41</v>
      </c>
      <c r="B36" s="399"/>
      <c r="C36" s="400"/>
      <c r="D36" s="238"/>
      <c r="E36" s="199"/>
      <c r="F36" s="257"/>
      <c r="G36" s="366"/>
      <c r="H36" s="368"/>
      <c r="I36" s="204"/>
      <c r="J36" s="207"/>
      <c r="K36" s="215"/>
      <c r="L36" s="1"/>
    </row>
    <row r="37" spans="1:16" ht="37.5" customHeight="1" x14ac:dyDescent="0.35">
      <c r="A37" s="216" t="s">
        <v>42</v>
      </c>
      <c r="B37" s="401"/>
      <c r="C37" s="402"/>
      <c r="D37" s="240"/>
      <c r="E37" s="217"/>
      <c r="F37" s="250"/>
      <c r="G37" s="397"/>
      <c r="H37" s="398"/>
      <c r="I37" s="218"/>
      <c r="J37" s="219"/>
      <c r="K37" s="220"/>
    </row>
    <row r="38" spans="1:16" x14ac:dyDescent="0.35">
      <c r="A38" s="8"/>
      <c r="B38" s="9"/>
      <c r="C38" s="9"/>
      <c r="D38" s="9"/>
      <c r="E38" s="9"/>
      <c r="F38" s="9"/>
      <c r="G38" s="9"/>
      <c r="H38" s="9"/>
      <c r="I38" s="9"/>
      <c r="J38" s="7"/>
      <c r="K38" s="7"/>
      <c r="L38" s="7"/>
      <c r="M38" s="7"/>
      <c r="N38" s="7"/>
      <c r="O38" s="7"/>
      <c r="P38" s="7"/>
    </row>
    <row r="39" spans="1:16" x14ac:dyDescent="0.35">
      <c r="A39" s="1"/>
      <c r="B39" s="171"/>
      <c r="C39" s="171"/>
      <c r="D39" s="171"/>
      <c r="E39" s="171"/>
      <c r="F39" s="9"/>
      <c r="G39" s="198"/>
      <c r="H39" s="198"/>
      <c r="I39" s="198"/>
      <c r="J39" s="7"/>
      <c r="N39" s="1"/>
      <c r="O39" s="1"/>
      <c r="P39" s="1"/>
    </row>
    <row r="40" spans="1:16" x14ac:dyDescent="0.35">
      <c r="A40" s="1"/>
      <c r="B40" s="171"/>
      <c r="C40" s="171"/>
      <c r="D40" s="171"/>
      <c r="E40" s="171"/>
      <c r="F40" s="9"/>
      <c r="G40" s="198"/>
      <c r="H40" s="198"/>
      <c r="I40" s="198"/>
      <c r="J40" s="7"/>
      <c r="N40" s="1"/>
      <c r="O40" s="1"/>
      <c r="P40" s="1"/>
    </row>
    <row r="41" spans="1:16" ht="41.25" customHeight="1" x14ac:dyDescent="0.35">
      <c r="A41" s="208" t="s">
        <v>43</v>
      </c>
      <c r="B41" s="373" t="s">
        <v>29</v>
      </c>
      <c r="C41" s="390"/>
      <c r="D41" s="373" t="s">
        <v>31</v>
      </c>
      <c r="E41" s="373"/>
      <c r="F41" s="396" t="s">
        <v>44</v>
      </c>
      <c r="G41" s="373"/>
      <c r="H41" s="221" t="s">
        <v>36</v>
      </c>
      <c r="I41" s="198"/>
      <c r="J41" s="7"/>
      <c r="N41" s="1"/>
      <c r="O41" s="1"/>
      <c r="P41" s="1"/>
    </row>
    <row r="42" spans="1:16" ht="37.5" customHeight="1" x14ac:dyDescent="0.35">
      <c r="A42" s="222" t="s">
        <v>45</v>
      </c>
      <c r="B42" s="374"/>
      <c r="C42" s="386"/>
      <c r="D42" s="374"/>
      <c r="E42" s="374"/>
      <c r="F42" s="388"/>
      <c r="G42" s="374"/>
      <c r="H42" s="223"/>
      <c r="J42" s="311"/>
      <c r="K42" s="311"/>
      <c r="N42" s="1"/>
      <c r="O42" s="1"/>
      <c r="P42" s="1"/>
    </row>
    <row r="43" spans="1:16" ht="37.5" customHeight="1" x14ac:dyDescent="0.35">
      <c r="A43" s="222" t="s">
        <v>46</v>
      </c>
      <c r="B43" s="374"/>
      <c r="C43" s="386"/>
      <c r="D43" s="374"/>
      <c r="E43" s="374"/>
      <c r="F43" s="388"/>
      <c r="G43" s="374"/>
      <c r="H43" s="223"/>
      <c r="J43" s="124"/>
      <c r="K43" s="124"/>
      <c r="N43" s="1"/>
      <c r="O43" s="1"/>
      <c r="P43" s="1"/>
    </row>
    <row r="44" spans="1:16" ht="37.5" customHeight="1" x14ac:dyDescent="0.35">
      <c r="A44" s="224" t="s">
        <v>47</v>
      </c>
      <c r="B44" s="375"/>
      <c r="C44" s="387"/>
      <c r="D44" s="375"/>
      <c r="E44" s="375"/>
      <c r="F44" s="389"/>
      <c r="G44" s="375"/>
      <c r="H44" s="225"/>
      <c r="J44" s="124"/>
      <c r="K44" s="124"/>
      <c r="N44" s="1"/>
      <c r="O44" s="1"/>
      <c r="P44" s="1"/>
    </row>
    <row r="45" spans="1:16" x14ac:dyDescent="0.35">
      <c r="A45" s="8"/>
      <c r="B45" s="9"/>
      <c r="C45" s="9"/>
      <c r="D45" s="9"/>
      <c r="E45" s="9"/>
      <c r="F45" s="9"/>
      <c r="G45" s="9"/>
      <c r="H45" s="9"/>
      <c r="I45" s="9"/>
      <c r="J45" s="7"/>
      <c r="K45" s="7"/>
      <c r="L45" s="7"/>
      <c r="M45" s="7"/>
      <c r="N45" s="7"/>
      <c r="O45" s="7"/>
      <c r="P45" s="7"/>
    </row>
    <row r="46" spans="1:16" x14ac:dyDescent="0.35">
      <c r="A46" s="8"/>
      <c r="B46" s="9"/>
      <c r="C46" s="9"/>
      <c r="D46" s="9"/>
      <c r="E46" s="9"/>
      <c r="F46" s="9"/>
      <c r="G46" s="9"/>
      <c r="H46" s="9"/>
      <c r="I46" s="9"/>
      <c r="J46" s="7"/>
      <c r="K46" s="7"/>
      <c r="L46" s="7"/>
      <c r="M46" s="7"/>
      <c r="N46" s="7"/>
      <c r="O46" s="7"/>
      <c r="P46" s="7"/>
    </row>
    <row r="47" spans="1:16" x14ac:dyDescent="0.35">
      <c r="A47" s="8"/>
      <c r="B47" s="9"/>
      <c r="C47" s="9"/>
      <c r="D47" s="9"/>
      <c r="E47" s="9"/>
      <c r="F47" s="9"/>
      <c r="G47" s="9"/>
      <c r="H47" s="9"/>
      <c r="I47" s="9"/>
      <c r="J47" s="7"/>
      <c r="K47" s="7"/>
      <c r="L47" s="7"/>
      <c r="M47" s="7"/>
      <c r="N47" s="7"/>
      <c r="O47" s="7"/>
      <c r="P47" s="7"/>
    </row>
    <row r="48" spans="1:16" ht="39.75" customHeight="1" x14ac:dyDescent="0.35">
      <c r="A48" s="208" t="s">
        <v>48</v>
      </c>
      <c r="B48" s="373" t="s">
        <v>29</v>
      </c>
      <c r="C48" s="373"/>
      <c r="D48" s="376" t="s">
        <v>31</v>
      </c>
      <c r="E48" s="377"/>
      <c r="F48" s="373" t="s">
        <v>49</v>
      </c>
      <c r="G48" s="373"/>
      <c r="H48" s="221" t="s">
        <v>36</v>
      </c>
      <c r="I48" s="198"/>
      <c r="J48" s="7"/>
      <c r="N48" s="1"/>
      <c r="O48" s="1"/>
      <c r="P48" s="1"/>
    </row>
    <row r="49" spans="1:16" ht="37.5" customHeight="1" x14ac:dyDescent="0.35">
      <c r="A49" s="222" t="s">
        <v>50</v>
      </c>
      <c r="B49" s="378"/>
      <c r="C49" s="381"/>
      <c r="D49" s="378"/>
      <c r="E49" s="378"/>
      <c r="F49" s="383"/>
      <c r="G49" s="384"/>
      <c r="H49" s="226"/>
      <c r="I49" s="198"/>
      <c r="J49" s="7"/>
      <c r="N49" s="1"/>
      <c r="O49" s="1"/>
      <c r="P49" s="1"/>
    </row>
    <row r="50" spans="1:16" ht="37.5" customHeight="1" x14ac:dyDescent="0.35">
      <c r="A50" s="222" t="s">
        <v>51</v>
      </c>
      <c r="B50" s="378"/>
      <c r="C50" s="381"/>
      <c r="D50" s="378"/>
      <c r="E50" s="378"/>
      <c r="F50" s="383"/>
      <c r="G50" s="384"/>
      <c r="H50" s="226"/>
      <c r="I50" s="198"/>
      <c r="J50" s="7"/>
      <c r="N50" s="1"/>
      <c r="O50" s="1"/>
      <c r="P50" s="1"/>
    </row>
    <row r="51" spans="1:16" ht="37.5" customHeight="1" x14ac:dyDescent="0.35">
      <c r="A51" s="224" t="s">
        <v>52</v>
      </c>
      <c r="B51" s="382"/>
      <c r="C51" s="382"/>
      <c r="D51" s="379"/>
      <c r="E51" s="380"/>
      <c r="F51" s="385"/>
      <c r="G51" s="385"/>
      <c r="H51" s="227"/>
      <c r="I51" s="198"/>
      <c r="J51" s="7"/>
      <c r="N51" s="1"/>
      <c r="O51" s="1"/>
      <c r="P51" s="1"/>
    </row>
    <row r="52" spans="1:16" x14ac:dyDescent="0.35">
      <c r="A52" s="311"/>
      <c r="B52" s="311"/>
      <c r="C52" s="9"/>
      <c r="D52" s="9"/>
      <c r="E52" s="246"/>
      <c r="F52" s="246"/>
      <c r="G52" s="9"/>
      <c r="H52" s="8"/>
      <c r="I52" s="8"/>
      <c r="J52" s="7"/>
      <c r="K52" s="1"/>
      <c r="L52" s="1"/>
    </row>
    <row r="53" spans="1:16" x14ac:dyDescent="0.35">
      <c r="A53" s="9"/>
      <c r="B53" s="17"/>
      <c r="C53" s="9"/>
      <c r="D53" s="9"/>
      <c r="E53" s="9"/>
      <c r="F53" s="17"/>
      <c r="G53" s="9"/>
      <c r="H53" s="8"/>
      <c r="I53" s="8"/>
      <c r="J53" s="7"/>
      <c r="K53" s="1"/>
      <c r="L53" s="1"/>
    </row>
    <row r="54" spans="1:16" ht="15" customHeight="1" x14ac:dyDescent="0.35">
      <c r="E54" s="124"/>
      <c r="J54" s="7"/>
      <c r="K54" s="1"/>
      <c r="L54" s="1"/>
      <c r="M54" s="1"/>
      <c r="N54" s="1"/>
      <c r="O54" s="1"/>
      <c r="P54" s="1"/>
    </row>
  </sheetData>
  <dataConsolidate/>
  <mergeCells count="96">
    <mergeCell ref="G34:H34"/>
    <mergeCell ref="B31:C31"/>
    <mergeCell ref="B32:C32"/>
    <mergeCell ref="B33:C33"/>
    <mergeCell ref="F41:G41"/>
    <mergeCell ref="G37:H37"/>
    <mergeCell ref="G36:H36"/>
    <mergeCell ref="B35:C35"/>
    <mergeCell ref="B34:C34"/>
    <mergeCell ref="B36:C36"/>
    <mergeCell ref="B37:C37"/>
    <mergeCell ref="G35:H35"/>
    <mergeCell ref="F42:G42"/>
    <mergeCell ref="F44:G44"/>
    <mergeCell ref="F43:G43"/>
    <mergeCell ref="B41:C41"/>
    <mergeCell ref="F48:G48"/>
    <mergeCell ref="B42:C42"/>
    <mergeCell ref="F49:G49"/>
    <mergeCell ref="F50:G50"/>
    <mergeCell ref="F51:G51"/>
    <mergeCell ref="B43:C43"/>
    <mergeCell ref="B44:C44"/>
    <mergeCell ref="A52:B52"/>
    <mergeCell ref="D41:E41"/>
    <mergeCell ref="D42:E42"/>
    <mergeCell ref="D43:E43"/>
    <mergeCell ref="D44:E44"/>
    <mergeCell ref="D48:E48"/>
    <mergeCell ref="D49:E49"/>
    <mergeCell ref="D50:E50"/>
    <mergeCell ref="D51:E51"/>
    <mergeCell ref="B48:C48"/>
    <mergeCell ref="B49:C49"/>
    <mergeCell ref="B50:C50"/>
    <mergeCell ref="B51:C51"/>
    <mergeCell ref="A7:A16"/>
    <mergeCell ref="E10:J10"/>
    <mergeCell ref="A17:A19"/>
    <mergeCell ref="E15:J15"/>
    <mergeCell ref="E19:F19"/>
    <mergeCell ref="B19:D19"/>
    <mergeCell ref="B11:D11"/>
    <mergeCell ref="E14:J14"/>
    <mergeCell ref="F16:J16"/>
    <mergeCell ref="E9:J9"/>
    <mergeCell ref="E11:J11"/>
    <mergeCell ref="E12:J12"/>
    <mergeCell ref="G18:H18"/>
    <mergeCell ref="B13:D13"/>
    <mergeCell ref="E13:J13"/>
    <mergeCell ref="A27:J27"/>
    <mergeCell ref="G31:H31"/>
    <mergeCell ref="G32:H32"/>
    <mergeCell ref="G33:H33"/>
    <mergeCell ref="B24:D24"/>
    <mergeCell ref="A20:A24"/>
    <mergeCell ref="E20:J20"/>
    <mergeCell ref="E21:J21"/>
    <mergeCell ref="B20:D20"/>
    <mergeCell ref="B21:D21"/>
    <mergeCell ref="B22:D22"/>
    <mergeCell ref="B23:D23"/>
    <mergeCell ref="A26:J26"/>
    <mergeCell ref="J42:K42"/>
    <mergeCell ref="K19:Q19"/>
    <mergeCell ref="A1:A2"/>
    <mergeCell ref="A3:J3"/>
    <mergeCell ref="A4:J4"/>
    <mergeCell ref="B6:J6"/>
    <mergeCell ref="E7:J7"/>
    <mergeCell ref="E8:J8"/>
    <mergeCell ref="E18:F18"/>
    <mergeCell ref="K22:K23"/>
    <mergeCell ref="E23:J23"/>
    <mergeCell ref="E24:J24"/>
    <mergeCell ref="E22:J22"/>
    <mergeCell ref="B18:D18"/>
    <mergeCell ref="I1:J1"/>
    <mergeCell ref="B1:H1"/>
    <mergeCell ref="B2:H2"/>
    <mergeCell ref="G19:H19"/>
    <mergeCell ref="I18:J18"/>
    <mergeCell ref="I19:J19"/>
    <mergeCell ref="I2:J2"/>
    <mergeCell ref="B12:D12"/>
    <mergeCell ref="B14:D14"/>
    <mergeCell ref="B15:D15"/>
    <mergeCell ref="B16:D16"/>
    <mergeCell ref="B17:D17"/>
    <mergeCell ref="B9:D9"/>
    <mergeCell ref="B8:D8"/>
    <mergeCell ref="B7:D7"/>
    <mergeCell ref="B10:D10"/>
    <mergeCell ref="B5:J5"/>
    <mergeCell ref="E17:J17"/>
  </mergeCells>
  <phoneticPr fontId="34" type="noConversion"/>
  <conditionalFormatting sqref="E19">
    <cfRule type="containsText" dxfId="14" priority="8" stopIfTrue="1" operator="containsText" text="No cumple">
      <formula>NOT(ISERROR(SEARCH("No cumple",E19)))</formula>
    </cfRule>
  </conditionalFormatting>
  <conditionalFormatting sqref="K15:K16">
    <cfRule type="containsText" dxfId="13" priority="4" stopIfTrue="1" operator="containsText" text="Duración">
      <formula>NOT(ISERROR(SEARCH("Duración",K15)))</formula>
    </cfRule>
  </conditionalFormatting>
  <conditionalFormatting sqref="K20">
    <cfRule type="containsText" dxfId="12" priority="5" stopIfTrue="1" operator="containsText" text="no">
      <formula>NOT(ISERROR(SEARCH("no",K20)))</formula>
    </cfRule>
    <cfRule type="containsText" dxfId="11" priority="6" stopIfTrue="1" operator="containsText" text="Excede">
      <formula>NOT(ISERROR(SEARCH("Excede",K20)))</formula>
    </cfRule>
  </conditionalFormatting>
  <conditionalFormatting sqref="K22">
    <cfRule type="containsText" dxfId="10" priority="2" stopIfTrue="1" operator="containsText" text="no">
      <formula>NOT(ISERROR(SEARCH("no",K22)))</formula>
    </cfRule>
    <cfRule type="containsText" dxfId="9" priority="3" stopIfTrue="1" operator="containsText" text="Excede">
      <formula>NOT(ISERROR(SEARCH("Excede",K22)))</formula>
    </cfRule>
  </conditionalFormatting>
  <pageMargins left="0.70866141732283472" right="0.70866141732283472" top="0.74803149606299213" bottom="0.74803149606299213" header="0.31496062992125984" footer="0.31496062992125984"/>
  <pageSetup paperSize="9" scale="40" fitToHeight="0" orientation="portrait" r:id="rId1"/>
  <headerFooter>
    <oddFooter>&amp;RPágina &amp;P</oddFooter>
  </headerFooter>
  <drawing r:id="rId2"/>
  <extLst>
    <ext xmlns:x14="http://schemas.microsoft.com/office/spreadsheetml/2009/9/main" uri="{CCE6A557-97BC-4b89-ADB6-D9C93CAAB3DF}">
      <x14:dataValidations xmlns:xm="http://schemas.microsoft.com/office/excel/2006/main" xWindow="855" yWindow="451" count="7">
        <x14:dataValidation type="list" allowBlank="1" showInputMessage="1" showErrorMessage="1" prompt="Seleccionar en la lista desplegable" xr:uid="{4A9C1C31-C981-41B6-A9FF-961545F81E91}">
          <x14:formula1>
            <xm:f>Listas!$A$228:$A$232</xm:f>
          </x14:formula1>
          <xm:sqref>E9:J9</xm:sqref>
        </x14:dataValidation>
        <x14:dataValidation type="list" allowBlank="1" showInputMessage="1" showErrorMessage="1" prompt="Seleccionar en la lista desplegable" xr:uid="{00000000-0002-0000-0000-000004000000}">
          <x14:formula1>
            <xm:f>Listas!$A$12:$A$16</xm:f>
          </x14:formula1>
          <xm:sqref>B6</xm:sqref>
        </x14:dataValidation>
        <x14:dataValidation type="list" allowBlank="1" showInputMessage="1" showErrorMessage="1" prompt="Seleccionar en la lista desplegable" xr:uid="{DDD32E89-BC78-4DAD-AA62-11B5B89B7F11}">
          <x14:formula1>
            <xm:f>Listas!$A$211:$A$219</xm:f>
          </x14:formula1>
          <xm:sqref>E13:J13</xm:sqref>
        </x14:dataValidation>
        <x14:dataValidation type="list" allowBlank="1" showInputMessage="1" showErrorMessage="1" prompt="Seleccionar en la lista desplegable" xr:uid="{00000000-0002-0000-0000-000008000000}">
          <x14:formula1>
            <xm:f>Listas!$A$204:$A$206</xm:f>
          </x14:formula1>
          <xm:sqref>E12:J12</xm:sqref>
        </x14:dataValidation>
        <x14:dataValidation type="list" allowBlank="1" showInputMessage="1" showErrorMessage="1" prompt="Seleccionar en la lista desplegable" xr:uid="{00000000-0002-0000-0000-000007000000}">
          <x14:formula1>
            <xm:f>Listas!$A$196:$A$201</xm:f>
          </x14:formula1>
          <xm:sqref>E11:J11</xm:sqref>
        </x14:dataValidation>
        <x14:dataValidation type="list" allowBlank="1" showInputMessage="1" showErrorMessage="1" prompt="Seleccionar en la lista desplegable" xr:uid="{00000000-0002-0000-0000-000003000000}">
          <x14:formula1>
            <xm:f>Listas!$A$2:$A$9</xm:f>
          </x14:formula1>
          <xm:sqref>B5:J5</xm:sqref>
        </x14:dataValidation>
        <x14:dataValidation type="list" allowBlank="1" showInputMessage="1" showErrorMessage="1" prompt="Seleccionar en la lista desplegable" xr:uid="{00000000-0002-0000-0000-000002000000}">
          <x14:formula1>
            <xm:f>Listas!$A$112:$A$129</xm:f>
          </x14:formula1>
          <xm:sqref>E10:J10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52"/>
  <sheetViews>
    <sheetView zoomScaleNormal="100" workbookViewId="0">
      <selection activeCell="A7" sqref="A7:XFD7"/>
    </sheetView>
  </sheetViews>
  <sheetFormatPr baseColWidth="10" defaultColWidth="15.453125" defaultRowHeight="14" x14ac:dyDescent="0.3"/>
  <cols>
    <col min="1" max="1" width="4.453125" style="14" bestFit="1" customWidth="1"/>
    <col min="2" max="2" width="31.26953125" style="14" customWidth="1"/>
    <col min="3" max="4" width="30.453125" style="14" customWidth="1"/>
    <col min="5" max="5" width="13.81640625" style="14" bestFit="1" customWidth="1"/>
    <col min="6" max="6" width="24.7265625" style="14" customWidth="1"/>
    <col min="7" max="7" width="33.26953125" style="14" customWidth="1"/>
    <col min="8" max="8" width="21.1796875" style="14" customWidth="1"/>
    <col min="9" max="9" width="18.26953125" style="14" customWidth="1"/>
    <col min="10" max="10" width="17" style="14" customWidth="1"/>
    <col min="11" max="11" width="15.453125" style="14" customWidth="1"/>
    <col min="12" max="12" width="17" style="14" customWidth="1"/>
    <col min="13" max="13" width="18.7265625" style="14" customWidth="1"/>
    <col min="14" max="14" width="17.26953125" style="14" customWidth="1"/>
    <col min="15" max="15" width="17.453125" style="14" customWidth="1"/>
    <col min="16" max="17" width="17.26953125" style="14" customWidth="1"/>
    <col min="18" max="19" width="15.453125" style="14" customWidth="1"/>
    <col min="20" max="23" width="17.81640625" style="14" customWidth="1"/>
    <col min="24" max="24" width="24.26953125" style="14" customWidth="1"/>
    <col min="25" max="16384" width="15.453125" style="14"/>
  </cols>
  <sheetData>
    <row r="1" spans="1:27" x14ac:dyDescent="0.3">
      <c r="A1" s="403" t="s">
        <v>53</v>
      </c>
      <c r="B1" s="404"/>
      <c r="C1" s="404"/>
      <c r="D1" s="404"/>
      <c r="E1" s="404"/>
      <c r="F1" s="404"/>
      <c r="G1" s="404"/>
      <c r="H1" s="404"/>
      <c r="I1" s="404"/>
      <c r="J1" s="404"/>
      <c r="K1" s="404"/>
      <c r="L1" s="404"/>
      <c r="M1" s="404"/>
      <c r="N1" s="404"/>
      <c r="O1" s="404"/>
      <c r="P1" s="404"/>
      <c r="Q1" s="404"/>
      <c r="R1" s="404"/>
      <c r="S1" s="404"/>
      <c r="T1" s="404"/>
      <c r="U1" s="404"/>
      <c r="V1" s="404"/>
      <c r="W1" s="404"/>
    </row>
    <row r="2" spans="1:27" x14ac:dyDescent="0.3">
      <c r="A2" s="426" t="s">
        <v>54</v>
      </c>
      <c r="B2" s="427"/>
      <c r="C2" s="423">
        <f>Formato!$E$7</f>
        <v>0</v>
      </c>
      <c r="D2" s="423"/>
      <c r="E2" s="423"/>
      <c r="F2" s="423"/>
      <c r="G2" s="423"/>
      <c r="H2" s="423"/>
      <c r="I2" s="423"/>
      <c r="J2" s="423"/>
      <c r="K2" s="423"/>
      <c r="L2" s="423"/>
      <c r="M2" s="423"/>
      <c r="N2" s="423"/>
      <c r="O2" s="423"/>
      <c r="P2" s="423"/>
      <c r="Q2" s="423"/>
      <c r="R2" s="423"/>
      <c r="S2" s="423"/>
      <c r="T2" s="423"/>
      <c r="U2" s="423"/>
      <c r="V2" s="423"/>
      <c r="W2" s="423"/>
    </row>
    <row r="3" spans="1:27" s="436" customFormat="1" ht="14.5" thickBot="1" x14ac:dyDescent="0.4">
      <c r="A3" s="434"/>
      <c r="B3" s="435"/>
      <c r="C3" s="435"/>
      <c r="D3" s="435"/>
      <c r="E3" s="435"/>
      <c r="F3" s="435"/>
      <c r="G3" s="435"/>
      <c r="H3" s="435"/>
      <c r="I3" s="435"/>
      <c r="J3" s="435"/>
      <c r="K3" s="435"/>
      <c r="L3" s="435"/>
      <c r="M3" s="435"/>
      <c r="N3" s="435"/>
      <c r="O3" s="435"/>
      <c r="P3" s="435"/>
      <c r="Q3" s="435"/>
      <c r="R3" s="435"/>
      <c r="S3" s="435"/>
      <c r="T3" s="435"/>
      <c r="U3" s="435"/>
      <c r="V3" s="435"/>
      <c r="W3" s="435"/>
      <c r="X3" s="435"/>
      <c r="Y3" s="435"/>
      <c r="Z3" s="435"/>
      <c r="AA3" s="435"/>
    </row>
    <row r="4" spans="1:27" ht="15.75" customHeight="1" thickBot="1" x14ac:dyDescent="0.35">
      <c r="A4" s="406" t="s">
        <v>55</v>
      </c>
      <c r="B4" s="409" t="s">
        <v>56</v>
      </c>
      <c r="C4" s="410"/>
      <c r="D4" s="410"/>
      <c r="E4" s="410"/>
      <c r="F4" s="410"/>
      <c r="G4" s="410"/>
      <c r="H4" s="410"/>
      <c r="I4" s="411"/>
      <c r="J4" s="409" t="s">
        <v>57</v>
      </c>
      <c r="K4" s="410"/>
      <c r="L4" s="410"/>
      <c r="M4" s="410"/>
      <c r="N4" s="410"/>
      <c r="O4" s="410"/>
      <c r="P4" s="410"/>
      <c r="Q4" s="410"/>
      <c r="R4" s="410"/>
      <c r="S4" s="411"/>
      <c r="T4" s="412" t="s">
        <v>58</v>
      </c>
      <c r="U4" s="413"/>
      <c r="V4" s="413"/>
      <c r="W4" s="414"/>
      <c r="X4" s="12"/>
      <c r="Y4" s="12"/>
      <c r="Z4" s="11"/>
      <c r="AA4" s="12"/>
    </row>
    <row r="5" spans="1:27" ht="14.5" thickBot="1" x14ac:dyDescent="0.35">
      <c r="A5" s="407"/>
      <c r="B5" s="415" t="s">
        <v>29</v>
      </c>
      <c r="C5" s="415" t="s">
        <v>59</v>
      </c>
      <c r="D5" s="432" t="s">
        <v>60</v>
      </c>
      <c r="E5" s="432" t="s">
        <v>61</v>
      </c>
      <c r="F5" s="432" t="s">
        <v>62</v>
      </c>
      <c r="G5" s="415" t="s">
        <v>63</v>
      </c>
      <c r="H5" s="451" t="s">
        <v>64</v>
      </c>
      <c r="I5" s="453" t="s">
        <v>65</v>
      </c>
      <c r="J5" s="455" t="s">
        <v>66</v>
      </c>
      <c r="K5" s="419" t="s">
        <v>67</v>
      </c>
      <c r="L5" s="419" t="s">
        <v>68</v>
      </c>
      <c r="M5" s="419" t="s">
        <v>69</v>
      </c>
      <c r="N5" s="419" t="s">
        <v>70</v>
      </c>
      <c r="O5" s="421" t="s">
        <v>71</v>
      </c>
      <c r="P5" s="430" t="s">
        <v>72</v>
      </c>
      <c r="Q5" s="449" t="s">
        <v>73</v>
      </c>
      <c r="R5" s="421" t="s">
        <v>74</v>
      </c>
      <c r="S5" s="421" t="s">
        <v>75</v>
      </c>
      <c r="T5" s="428" t="s">
        <v>76</v>
      </c>
      <c r="U5" s="429"/>
      <c r="V5" s="417" t="s">
        <v>77</v>
      </c>
      <c r="W5" s="418"/>
      <c r="X5" s="24"/>
    </row>
    <row r="6" spans="1:27" ht="31.5" customHeight="1" thickBot="1" x14ac:dyDescent="0.35">
      <c r="A6" s="408"/>
      <c r="B6" s="416"/>
      <c r="C6" s="416"/>
      <c r="D6" s="433"/>
      <c r="E6" s="433"/>
      <c r="F6" s="433"/>
      <c r="G6" s="416"/>
      <c r="H6" s="452"/>
      <c r="I6" s="454"/>
      <c r="J6" s="456"/>
      <c r="K6" s="420"/>
      <c r="L6" s="420"/>
      <c r="M6" s="420"/>
      <c r="N6" s="420"/>
      <c r="O6" s="422"/>
      <c r="P6" s="431"/>
      <c r="Q6" s="450"/>
      <c r="R6" s="422"/>
      <c r="S6" s="422"/>
      <c r="T6" s="25" t="s">
        <v>78</v>
      </c>
      <c r="U6" s="26" t="s">
        <v>79</v>
      </c>
      <c r="V6" s="26" t="s">
        <v>79</v>
      </c>
      <c r="W6" s="27" t="s">
        <v>78</v>
      </c>
      <c r="X6" s="24"/>
    </row>
    <row r="7" spans="1:27" ht="27.75" customHeight="1" x14ac:dyDescent="0.3">
      <c r="A7" s="28"/>
      <c r="B7" s="29"/>
      <c r="C7" s="105"/>
      <c r="D7" s="29"/>
      <c r="E7" s="29"/>
      <c r="F7" s="29"/>
      <c r="G7" s="30"/>
      <c r="H7" s="177"/>
      <c r="I7" s="31"/>
      <c r="J7" s="106"/>
      <c r="K7" s="107"/>
      <c r="L7" s="32"/>
      <c r="M7" s="108"/>
      <c r="N7" s="32"/>
      <c r="O7" s="125"/>
      <c r="P7" s="123"/>
      <c r="Q7" s="133"/>
      <c r="R7" s="157"/>
      <c r="S7" s="132"/>
      <c r="T7" s="158"/>
      <c r="U7" s="159"/>
      <c r="V7" s="160"/>
      <c r="W7" s="161"/>
      <c r="X7" s="131"/>
    </row>
    <row r="8" spans="1:27" ht="27.75" customHeight="1" x14ac:dyDescent="0.3">
      <c r="A8" s="33">
        <f>+A7+1</f>
        <v>1</v>
      </c>
      <c r="B8" s="34"/>
      <c r="C8" s="105"/>
      <c r="D8" s="29"/>
      <c r="E8" s="29"/>
      <c r="F8" s="29"/>
      <c r="G8" s="35"/>
      <c r="H8" s="178"/>
      <c r="I8" s="36"/>
      <c r="J8" s="106"/>
      <c r="K8" s="107"/>
      <c r="L8" s="37"/>
      <c r="M8" s="109"/>
      <c r="N8" s="37"/>
      <c r="O8" s="125"/>
      <c r="P8" s="123"/>
      <c r="Q8" s="133">
        <f>L8*P8*4</f>
        <v>0</v>
      </c>
      <c r="R8" s="157"/>
      <c r="S8" s="132">
        <f t="shared" ref="S8:S29" si="0">IF(AND(R8=TipoR1,M8=2023),N8*Tarifa1*año_actual,IF(AND(R8=TipoR2,M8=2023),N8*Tarifa2*año_actual,IF(AND(R8=TipoR3,M8=2023),N8*Tarifa3*año_actual,IF(AND(R8=TipoR4,M8=2023),N8*Tarifa4*año_actual,IF(AND(R8=TipoR5,M8=2023),N8*Tarifa5*año_actual,IF(AND(R8=TipoR1,M8=2024),N8*Tarifa1*año_siguiente,IF(AND(R8=TipoR2,M8=2024),N8*Tarifa2*año_siguiente,IF(AND(R8=TipoR3,M8=2024),N8*Tarifa3*año_siguiente,IF(AND(R8=TipoR4,M8=2024),N8*Tarifa4*año_siguiente,IF(AND(R8=TipoR5,M8=2024),N8*Tarifa5*año_siguiente,IF(AND(R8=TipoR1,M8=2025),N8*Tarifa1*año_subsiguiente,IF(AND(R8=TipoR2,M8=2025),N8*Tarifa2*año_subsiguiente,IF(AND(R8=TipoR3,M8=2025),N8*Tarifa3*año_subsiguiente,IF(AND(R8=TipoR4,M8=2025),N8*Tarifa4*año_subsiguiente,IF(AND(R8=TipoR5,M8=2025),N8*Tarifa5*año_subsiguiente,0)))))))))))))))</f>
        <v>0</v>
      </c>
      <c r="T8" s="158">
        <f>(IF(AND(J8="UIS",K8="Efectivo"),(N8*Q8)+S8,0))+IF(AND(J8="UIS",K8="Ad-Honorem"),S8,0)</f>
        <v>0</v>
      </c>
      <c r="U8" s="162">
        <f t="shared" ref="U8:U29" si="1">IF(AND(J8="UIS",K8="Especie"),N8*Q8,0)</f>
        <v>0</v>
      </c>
      <c r="V8" s="160">
        <f t="shared" ref="V8:V28" si="2">IF(AND(J8="Otra(s) Institución(es)",K8="Especie"),(N8*Q8)+S8,0)</f>
        <v>0</v>
      </c>
      <c r="W8" s="161">
        <f t="shared" ref="W8:W29" si="3">IF(AND(J8="Otra(s) Institución(es)",K8="Efectivo"),(N8*Q8)+S8,0)+IF(AND(J8="Otra(s) Institución(es)",K8="Ad-Honorem"),S8,0)</f>
        <v>0</v>
      </c>
      <c r="X8" s="130"/>
    </row>
    <row r="9" spans="1:27" ht="27.75" customHeight="1" x14ac:dyDescent="0.3">
      <c r="A9" s="33">
        <f t="shared" ref="A9:A29" si="4">+A8+1</f>
        <v>2</v>
      </c>
      <c r="B9" s="34"/>
      <c r="C9" s="105"/>
      <c r="D9" s="29"/>
      <c r="E9" s="29"/>
      <c r="F9" s="29"/>
      <c r="G9" s="35"/>
      <c r="H9" s="178"/>
      <c r="I9" s="36"/>
      <c r="J9" s="106"/>
      <c r="K9" s="107"/>
      <c r="L9" s="37"/>
      <c r="M9" s="109"/>
      <c r="N9" s="37"/>
      <c r="O9" s="125"/>
      <c r="P9" s="123"/>
      <c r="Q9" s="133">
        <f t="shared" ref="Q9:Q29" si="5">L9*P9*4</f>
        <v>0</v>
      </c>
      <c r="R9" s="157"/>
      <c r="S9" s="132">
        <f t="shared" si="0"/>
        <v>0</v>
      </c>
      <c r="T9" s="158">
        <f>(IF(AND(J9="UIS",K9="Efectivo"),(N9*Q9)+S9,0))+IF(AND(J9="UIS",K9="Ad-Honorem"),S9,0)</f>
        <v>0</v>
      </c>
      <c r="U9" s="162">
        <f t="shared" si="1"/>
        <v>0</v>
      </c>
      <c r="V9" s="160">
        <f t="shared" si="2"/>
        <v>0</v>
      </c>
      <c r="W9" s="161">
        <f t="shared" si="3"/>
        <v>0</v>
      </c>
      <c r="X9" s="11"/>
    </row>
    <row r="10" spans="1:27" ht="27.75" customHeight="1" x14ac:dyDescent="0.3">
      <c r="A10" s="33">
        <f t="shared" si="4"/>
        <v>3</v>
      </c>
      <c r="B10" s="34"/>
      <c r="C10" s="105"/>
      <c r="D10" s="29"/>
      <c r="E10" s="29"/>
      <c r="F10" s="29"/>
      <c r="G10" s="35"/>
      <c r="H10" s="178"/>
      <c r="I10" s="36"/>
      <c r="J10" s="106"/>
      <c r="K10" s="107"/>
      <c r="L10" s="37"/>
      <c r="M10" s="109"/>
      <c r="N10" s="37"/>
      <c r="O10" s="125"/>
      <c r="P10" s="123"/>
      <c r="Q10" s="133">
        <f t="shared" si="5"/>
        <v>0</v>
      </c>
      <c r="R10" s="157"/>
      <c r="S10" s="132">
        <f t="shared" si="0"/>
        <v>0</v>
      </c>
      <c r="T10" s="158">
        <f t="shared" ref="T10:T29" si="6">(IF(AND(J10="UIS",K10="Efectivo"),(N10*Q10)+S10,0))+IF(AND(J10="UIS",K10="Ad-Honorem"),S10,0)</f>
        <v>0</v>
      </c>
      <c r="U10" s="162">
        <f t="shared" si="1"/>
        <v>0</v>
      </c>
      <c r="V10" s="160">
        <f t="shared" si="2"/>
        <v>0</v>
      </c>
      <c r="W10" s="161">
        <f t="shared" si="3"/>
        <v>0</v>
      </c>
      <c r="X10" s="11"/>
    </row>
    <row r="11" spans="1:27" ht="27.75" customHeight="1" x14ac:dyDescent="0.3">
      <c r="A11" s="33">
        <f t="shared" si="4"/>
        <v>4</v>
      </c>
      <c r="B11" s="34"/>
      <c r="C11" s="105"/>
      <c r="D11" s="29"/>
      <c r="E11" s="29"/>
      <c r="F11" s="29"/>
      <c r="G11" s="35"/>
      <c r="H11" s="178"/>
      <c r="I11" s="36"/>
      <c r="J11" s="106"/>
      <c r="K11" s="107"/>
      <c r="L11" s="37"/>
      <c r="M11" s="109"/>
      <c r="N11" s="37"/>
      <c r="O11" s="125"/>
      <c r="P11" s="123"/>
      <c r="Q11" s="133">
        <f t="shared" si="5"/>
        <v>0</v>
      </c>
      <c r="R11" s="157"/>
      <c r="S11" s="132">
        <f t="shared" si="0"/>
        <v>0</v>
      </c>
      <c r="T11" s="158">
        <f t="shared" si="6"/>
        <v>0</v>
      </c>
      <c r="U11" s="162">
        <f t="shared" si="1"/>
        <v>0</v>
      </c>
      <c r="V11" s="160">
        <f t="shared" si="2"/>
        <v>0</v>
      </c>
      <c r="W11" s="161">
        <f t="shared" si="3"/>
        <v>0</v>
      </c>
      <c r="X11" s="11"/>
    </row>
    <row r="12" spans="1:27" ht="27.75" customHeight="1" x14ac:dyDescent="0.3">
      <c r="A12" s="33">
        <f t="shared" si="4"/>
        <v>5</v>
      </c>
      <c r="B12" s="34"/>
      <c r="C12" s="105"/>
      <c r="D12" s="29"/>
      <c r="E12" s="29"/>
      <c r="F12" s="29"/>
      <c r="G12" s="35"/>
      <c r="H12" s="178"/>
      <c r="I12" s="36"/>
      <c r="J12" s="106"/>
      <c r="K12" s="107"/>
      <c r="L12" s="37"/>
      <c r="M12" s="109"/>
      <c r="N12" s="37"/>
      <c r="O12" s="125"/>
      <c r="P12" s="123"/>
      <c r="Q12" s="133">
        <f t="shared" si="5"/>
        <v>0</v>
      </c>
      <c r="R12" s="157"/>
      <c r="S12" s="132">
        <f t="shared" si="0"/>
        <v>0</v>
      </c>
      <c r="T12" s="158">
        <f t="shared" si="6"/>
        <v>0</v>
      </c>
      <c r="U12" s="162">
        <f t="shared" si="1"/>
        <v>0</v>
      </c>
      <c r="V12" s="160">
        <f t="shared" si="2"/>
        <v>0</v>
      </c>
      <c r="W12" s="161">
        <f t="shared" si="3"/>
        <v>0</v>
      </c>
      <c r="X12" s="11"/>
    </row>
    <row r="13" spans="1:27" ht="27.75" customHeight="1" x14ac:dyDescent="0.3">
      <c r="A13" s="33">
        <f>+A12+1</f>
        <v>6</v>
      </c>
      <c r="B13" s="34"/>
      <c r="C13" s="105"/>
      <c r="D13" s="29"/>
      <c r="E13" s="29"/>
      <c r="F13" s="29"/>
      <c r="G13" s="35"/>
      <c r="H13" s="178"/>
      <c r="I13" s="36"/>
      <c r="J13" s="106"/>
      <c r="K13" s="107"/>
      <c r="L13" s="37"/>
      <c r="M13" s="109"/>
      <c r="N13" s="37"/>
      <c r="O13" s="125"/>
      <c r="P13" s="123"/>
      <c r="Q13" s="133">
        <f t="shared" si="5"/>
        <v>0</v>
      </c>
      <c r="R13" s="157"/>
      <c r="S13" s="132">
        <f t="shared" si="0"/>
        <v>0</v>
      </c>
      <c r="T13" s="158">
        <f t="shared" si="6"/>
        <v>0</v>
      </c>
      <c r="U13" s="162">
        <f t="shared" si="1"/>
        <v>0</v>
      </c>
      <c r="V13" s="160">
        <f t="shared" si="2"/>
        <v>0</v>
      </c>
      <c r="W13" s="161">
        <f t="shared" si="3"/>
        <v>0</v>
      </c>
      <c r="X13" s="11"/>
      <c r="Y13" s="12"/>
      <c r="Z13" s="11"/>
      <c r="AA13" s="11"/>
    </row>
    <row r="14" spans="1:27" ht="27.75" customHeight="1" x14ac:dyDescent="0.3">
      <c r="A14" s="33">
        <f t="shared" si="4"/>
        <v>7</v>
      </c>
      <c r="B14" s="34"/>
      <c r="C14" s="105"/>
      <c r="D14" s="29"/>
      <c r="E14" s="29"/>
      <c r="F14" s="29"/>
      <c r="G14" s="35"/>
      <c r="H14" s="178"/>
      <c r="I14" s="36"/>
      <c r="J14" s="106"/>
      <c r="K14" s="107"/>
      <c r="L14" s="37"/>
      <c r="M14" s="109"/>
      <c r="N14" s="37"/>
      <c r="O14" s="125"/>
      <c r="P14" s="123"/>
      <c r="Q14" s="133">
        <f t="shared" si="5"/>
        <v>0</v>
      </c>
      <c r="R14" s="157"/>
      <c r="S14" s="132">
        <f t="shared" si="0"/>
        <v>0</v>
      </c>
      <c r="T14" s="158">
        <f t="shared" si="6"/>
        <v>0</v>
      </c>
      <c r="U14" s="162">
        <f t="shared" si="1"/>
        <v>0</v>
      </c>
      <c r="V14" s="160">
        <f t="shared" si="2"/>
        <v>0</v>
      </c>
      <c r="W14" s="161">
        <f t="shared" si="3"/>
        <v>0</v>
      </c>
      <c r="X14" s="11"/>
      <c r="Y14" s="12"/>
      <c r="Z14" s="11"/>
      <c r="AA14" s="11"/>
    </row>
    <row r="15" spans="1:27" ht="27.75" customHeight="1" x14ac:dyDescent="0.3">
      <c r="A15" s="33">
        <f t="shared" si="4"/>
        <v>8</v>
      </c>
      <c r="B15" s="34"/>
      <c r="C15" s="105"/>
      <c r="D15" s="29"/>
      <c r="E15" s="29"/>
      <c r="F15" s="29"/>
      <c r="G15" s="35"/>
      <c r="H15" s="178"/>
      <c r="I15" s="36"/>
      <c r="J15" s="106"/>
      <c r="K15" s="107"/>
      <c r="L15" s="37"/>
      <c r="M15" s="109"/>
      <c r="N15" s="37"/>
      <c r="O15" s="125"/>
      <c r="P15" s="123"/>
      <c r="Q15" s="133">
        <f t="shared" si="5"/>
        <v>0</v>
      </c>
      <c r="R15" s="157"/>
      <c r="S15" s="132">
        <f t="shared" si="0"/>
        <v>0</v>
      </c>
      <c r="T15" s="158">
        <f t="shared" si="6"/>
        <v>0</v>
      </c>
      <c r="U15" s="162">
        <f t="shared" si="1"/>
        <v>0</v>
      </c>
      <c r="V15" s="160">
        <f>IF(AND(J15="Otra(s) Institución(es)",K15="Especie"),(N15*Q15)+S15,0)</f>
        <v>0</v>
      </c>
      <c r="W15" s="161">
        <f t="shared" si="3"/>
        <v>0</v>
      </c>
      <c r="X15" s="11"/>
      <c r="Y15" s="12"/>
      <c r="Z15" s="11"/>
      <c r="AA15" s="11"/>
    </row>
    <row r="16" spans="1:27" ht="27.75" customHeight="1" x14ac:dyDescent="0.3">
      <c r="A16" s="33">
        <f t="shared" si="4"/>
        <v>9</v>
      </c>
      <c r="B16" s="34"/>
      <c r="C16" s="105"/>
      <c r="D16" s="29"/>
      <c r="E16" s="29"/>
      <c r="F16" s="29"/>
      <c r="G16" s="35"/>
      <c r="H16" s="178"/>
      <c r="I16" s="36"/>
      <c r="J16" s="106"/>
      <c r="K16" s="107"/>
      <c r="L16" s="37"/>
      <c r="M16" s="109"/>
      <c r="N16" s="37"/>
      <c r="O16" s="125"/>
      <c r="P16" s="123"/>
      <c r="Q16" s="133">
        <f t="shared" si="5"/>
        <v>0</v>
      </c>
      <c r="R16" s="157"/>
      <c r="S16" s="132">
        <f t="shared" si="0"/>
        <v>0</v>
      </c>
      <c r="T16" s="158">
        <f t="shared" si="6"/>
        <v>0</v>
      </c>
      <c r="U16" s="162">
        <f t="shared" si="1"/>
        <v>0</v>
      </c>
      <c r="V16" s="160">
        <f t="shared" si="2"/>
        <v>0</v>
      </c>
      <c r="W16" s="161">
        <f t="shared" si="3"/>
        <v>0</v>
      </c>
      <c r="X16" s="11"/>
      <c r="Y16" s="12"/>
      <c r="Z16" s="11"/>
      <c r="AA16" s="11"/>
    </row>
    <row r="17" spans="1:27" ht="27.75" customHeight="1" x14ac:dyDescent="0.3">
      <c r="A17" s="33">
        <f t="shared" si="4"/>
        <v>10</v>
      </c>
      <c r="B17" s="34"/>
      <c r="C17" s="105"/>
      <c r="D17" s="29"/>
      <c r="E17" s="29"/>
      <c r="F17" s="29"/>
      <c r="G17" s="35"/>
      <c r="H17" s="178"/>
      <c r="I17" s="36"/>
      <c r="J17" s="106"/>
      <c r="K17" s="107"/>
      <c r="L17" s="37"/>
      <c r="M17" s="109"/>
      <c r="N17" s="37"/>
      <c r="O17" s="125"/>
      <c r="P17" s="123"/>
      <c r="Q17" s="133">
        <f t="shared" si="5"/>
        <v>0</v>
      </c>
      <c r="R17" s="157"/>
      <c r="S17" s="132">
        <f t="shared" si="0"/>
        <v>0</v>
      </c>
      <c r="T17" s="158">
        <f t="shared" si="6"/>
        <v>0</v>
      </c>
      <c r="U17" s="162">
        <f t="shared" si="1"/>
        <v>0</v>
      </c>
      <c r="V17" s="160">
        <f t="shared" si="2"/>
        <v>0</v>
      </c>
      <c r="W17" s="161">
        <f t="shared" si="3"/>
        <v>0</v>
      </c>
      <c r="X17" s="11"/>
      <c r="Y17" s="12"/>
      <c r="Z17" s="11"/>
      <c r="AA17" s="11"/>
    </row>
    <row r="18" spans="1:27" ht="27.75" customHeight="1" x14ac:dyDescent="0.3">
      <c r="A18" s="33">
        <f t="shared" si="4"/>
        <v>11</v>
      </c>
      <c r="B18" s="34"/>
      <c r="C18" s="105"/>
      <c r="D18" s="29"/>
      <c r="E18" s="29"/>
      <c r="F18" s="29"/>
      <c r="G18" s="35"/>
      <c r="H18" s="178"/>
      <c r="I18" s="36"/>
      <c r="J18" s="106"/>
      <c r="K18" s="107"/>
      <c r="L18" s="37"/>
      <c r="M18" s="109"/>
      <c r="N18" s="37"/>
      <c r="O18" s="125"/>
      <c r="P18" s="123"/>
      <c r="Q18" s="133">
        <f t="shared" si="5"/>
        <v>0</v>
      </c>
      <c r="R18" s="157"/>
      <c r="S18" s="132">
        <f t="shared" si="0"/>
        <v>0</v>
      </c>
      <c r="T18" s="158">
        <f t="shared" si="6"/>
        <v>0</v>
      </c>
      <c r="U18" s="162">
        <f t="shared" si="1"/>
        <v>0</v>
      </c>
      <c r="V18" s="160">
        <f t="shared" si="2"/>
        <v>0</v>
      </c>
      <c r="W18" s="161">
        <f t="shared" si="3"/>
        <v>0</v>
      </c>
      <c r="X18" s="11"/>
      <c r="Y18" s="12"/>
      <c r="Z18" s="11"/>
      <c r="AA18" s="11"/>
    </row>
    <row r="19" spans="1:27" ht="27.75" customHeight="1" x14ac:dyDescent="0.3">
      <c r="A19" s="33">
        <f t="shared" si="4"/>
        <v>12</v>
      </c>
      <c r="B19" s="34"/>
      <c r="C19" s="105"/>
      <c r="D19" s="29"/>
      <c r="E19" s="29"/>
      <c r="F19" s="29"/>
      <c r="G19" s="35"/>
      <c r="H19" s="178"/>
      <c r="I19" s="36"/>
      <c r="J19" s="106"/>
      <c r="K19" s="107"/>
      <c r="L19" s="37"/>
      <c r="M19" s="109"/>
      <c r="N19" s="37"/>
      <c r="O19" s="125"/>
      <c r="P19" s="123"/>
      <c r="Q19" s="133">
        <f t="shared" si="5"/>
        <v>0</v>
      </c>
      <c r="R19" s="157"/>
      <c r="S19" s="132">
        <f t="shared" si="0"/>
        <v>0</v>
      </c>
      <c r="T19" s="158">
        <f t="shared" si="6"/>
        <v>0</v>
      </c>
      <c r="U19" s="162">
        <f t="shared" si="1"/>
        <v>0</v>
      </c>
      <c r="V19" s="160">
        <f t="shared" si="2"/>
        <v>0</v>
      </c>
      <c r="W19" s="161">
        <f t="shared" si="3"/>
        <v>0</v>
      </c>
      <c r="X19" s="11"/>
      <c r="Y19" s="12"/>
      <c r="Z19" s="11"/>
      <c r="AA19" s="11"/>
    </row>
    <row r="20" spans="1:27" ht="27.75" customHeight="1" x14ac:dyDescent="0.3">
      <c r="A20" s="33">
        <f t="shared" si="4"/>
        <v>13</v>
      </c>
      <c r="B20" s="34"/>
      <c r="C20" s="105"/>
      <c r="D20" s="29"/>
      <c r="E20" s="29"/>
      <c r="F20" s="29"/>
      <c r="G20" s="35"/>
      <c r="H20" s="178"/>
      <c r="I20" s="36"/>
      <c r="J20" s="106"/>
      <c r="K20" s="107"/>
      <c r="L20" s="37"/>
      <c r="M20" s="109"/>
      <c r="N20" s="37"/>
      <c r="O20" s="125"/>
      <c r="P20" s="123"/>
      <c r="Q20" s="133">
        <f t="shared" si="5"/>
        <v>0</v>
      </c>
      <c r="R20" s="157"/>
      <c r="S20" s="132">
        <f t="shared" si="0"/>
        <v>0</v>
      </c>
      <c r="T20" s="158">
        <f t="shared" si="6"/>
        <v>0</v>
      </c>
      <c r="U20" s="162">
        <f t="shared" si="1"/>
        <v>0</v>
      </c>
      <c r="V20" s="160">
        <f t="shared" si="2"/>
        <v>0</v>
      </c>
      <c r="W20" s="161">
        <f t="shared" si="3"/>
        <v>0</v>
      </c>
      <c r="X20" s="11"/>
      <c r="Y20" s="12"/>
      <c r="Z20" s="11"/>
      <c r="AA20" s="11"/>
    </row>
    <row r="21" spans="1:27" ht="27.75" customHeight="1" x14ac:dyDescent="0.3">
      <c r="A21" s="33">
        <f t="shared" si="4"/>
        <v>14</v>
      </c>
      <c r="B21" s="34"/>
      <c r="C21" s="105"/>
      <c r="D21" s="29"/>
      <c r="E21" s="29"/>
      <c r="F21" s="29"/>
      <c r="G21" s="35"/>
      <c r="H21" s="178"/>
      <c r="I21" s="36"/>
      <c r="J21" s="106"/>
      <c r="K21" s="107"/>
      <c r="L21" s="37"/>
      <c r="M21" s="109"/>
      <c r="N21" s="37"/>
      <c r="O21" s="125"/>
      <c r="P21" s="123"/>
      <c r="Q21" s="133">
        <f t="shared" si="5"/>
        <v>0</v>
      </c>
      <c r="R21" s="157"/>
      <c r="S21" s="132">
        <f t="shared" si="0"/>
        <v>0</v>
      </c>
      <c r="T21" s="158">
        <f t="shared" si="6"/>
        <v>0</v>
      </c>
      <c r="U21" s="162">
        <f t="shared" si="1"/>
        <v>0</v>
      </c>
      <c r="V21" s="160">
        <f t="shared" si="2"/>
        <v>0</v>
      </c>
      <c r="W21" s="161">
        <f t="shared" si="3"/>
        <v>0</v>
      </c>
      <c r="X21" s="11"/>
      <c r="Y21" s="12"/>
      <c r="Z21" s="11"/>
      <c r="AA21" s="11"/>
    </row>
    <row r="22" spans="1:27" ht="27.75" customHeight="1" x14ac:dyDescent="0.3">
      <c r="A22" s="33">
        <f t="shared" si="4"/>
        <v>15</v>
      </c>
      <c r="B22" s="34"/>
      <c r="C22" s="105"/>
      <c r="D22" s="29"/>
      <c r="E22" s="29"/>
      <c r="F22" s="29"/>
      <c r="G22" s="35"/>
      <c r="H22" s="178"/>
      <c r="I22" s="36"/>
      <c r="J22" s="106"/>
      <c r="K22" s="107"/>
      <c r="L22" s="37"/>
      <c r="M22" s="109"/>
      <c r="N22" s="37"/>
      <c r="O22" s="125"/>
      <c r="P22" s="123"/>
      <c r="Q22" s="133">
        <f t="shared" si="5"/>
        <v>0</v>
      </c>
      <c r="R22" s="157"/>
      <c r="S22" s="132">
        <f t="shared" si="0"/>
        <v>0</v>
      </c>
      <c r="T22" s="158">
        <f t="shared" si="6"/>
        <v>0</v>
      </c>
      <c r="U22" s="162">
        <f t="shared" si="1"/>
        <v>0</v>
      </c>
      <c r="V22" s="160">
        <f t="shared" si="2"/>
        <v>0</v>
      </c>
      <c r="W22" s="161">
        <f t="shared" si="3"/>
        <v>0</v>
      </c>
      <c r="X22" s="11"/>
      <c r="Y22" s="12"/>
      <c r="Z22" s="11"/>
      <c r="AA22" s="11"/>
    </row>
    <row r="23" spans="1:27" ht="27.75" customHeight="1" x14ac:dyDescent="0.3">
      <c r="A23" s="33">
        <f t="shared" si="4"/>
        <v>16</v>
      </c>
      <c r="B23" s="34"/>
      <c r="C23" s="105"/>
      <c r="D23" s="29"/>
      <c r="E23" s="29"/>
      <c r="F23" s="29"/>
      <c r="G23" s="35"/>
      <c r="H23" s="178"/>
      <c r="I23" s="36"/>
      <c r="J23" s="106"/>
      <c r="K23" s="107"/>
      <c r="L23" s="37"/>
      <c r="M23" s="109"/>
      <c r="N23" s="37"/>
      <c r="O23" s="125"/>
      <c r="P23" s="123"/>
      <c r="Q23" s="133">
        <f t="shared" ref="Q23:Q25" si="7">L23*P23*4</f>
        <v>0</v>
      </c>
      <c r="R23" s="157"/>
      <c r="S23" s="132">
        <f t="shared" si="0"/>
        <v>0</v>
      </c>
      <c r="T23" s="158">
        <f t="shared" si="6"/>
        <v>0</v>
      </c>
      <c r="U23" s="162">
        <f t="shared" ref="U23:U25" si="8">IF(AND(J23="UIS",K23="Especie"),N23*Q23,0)</f>
        <v>0</v>
      </c>
      <c r="V23" s="160">
        <f t="shared" ref="V23:V25" si="9">IF(AND(J23="Otra(s) Institución(es)",K23="Especie"),(N23*Q23)+S23,0)</f>
        <v>0</v>
      </c>
      <c r="W23" s="161">
        <f t="shared" si="3"/>
        <v>0</v>
      </c>
      <c r="X23" s="11"/>
      <c r="Y23" s="12"/>
      <c r="Z23" s="11"/>
      <c r="AA23" s="11"/>
    </row>
    <row r="24" spans="1:27" ht="27.75" customHeight="1" x14ac:dyDescent="0.3">
      <c r="A24" s="33">
        <f t="shared" si="4"/>
        <v>17</v>
      </c>
      <c r="B24" s="34"/>
      <c r="C24" s="105"/>
      <c r="D24" s="29"/>
      <c r="E24" s="29"/>
      <c r="F24" s="29"/>
      <c r="G24" s="35"/>
      <c r="H24" s="178"/>
      <c r="I24" s="36"/>
      <c r="J24" s="106"/>
      <c r="K24" s="107"/>
      <c r="L24" s="37"/>
      <c r="M24" s="109"/>
      <c r="N24" s="37"/>
      <c r="O24" s="125"/>
      <c r="P24" s="123"/>
      <c r="Q24" s="133">
        <f t="shared" si="7"/>
        <v>0</v>
      </c>
      <c r="R24" s="157"/>
      <c r="S24" s="132">
        <f t="shared" si="0"/>
        <v>0</v>
      </c>
      <c r="T24" s="158">
        <f t="shared" si="6"/>
        <v>0</v>
      </c>
      <c r="U24" s="162">
        <f t="shared" si="8"/>
        <v>0</v>
      </c>
      <c r="V24" s="160">
        <f t="shared" si="9"/>
        <v>0</v>
      </c>
      <c r="W24" s="161">
        <f t="shared" si="3"/>
        <v>0</v>
      </c>
      <c r="X24" s="11"/>
      <c r="Y24" s="12"/>
      <c r="Z24" s="11"/>
      <c r="AA24" s="11"/>
    </row>
    <row r="25" spans="1:27" ht="27.75" customHeight="1" x14ac:dyDescent="0.3">
      <c r="A25" s="33">
        <f t="shared" si="4"/>
        <v>18</v>
      </c>
      <c r="B25" s="34"/>
      <c r="C25" s="105"/>
      <c r="D25" s="29"/>
      <c r="E25" s="29"/>
      <c r="F25" s="29"/>
      <c r="G25" s="35"/>
      <c r="H25" s="178"/>
      <c r="I25" s="36"/>
      <c r="J25" s="106"/>
      <c r="K25" s="107"/>
      <c r="L25" s="37"/>
      <c r="M25" s="109"/>
      <c r="N25" s="37"/>
      <c r="O25" s="125"/>
      <c r="P25" s="123"/>
      <c r="Q25" s="133">
        <f t="shared" si="7"/>
        <v>0</v>
      </c>
      <c r="R25" s="157"/>
      <c r="S25" s="132">
        <f t="shared" si="0"/>
        <v>0</v>
      </c>
      <c r="T25" s="158">
        <f t="shared" si="6"/>
        <v>0</v>
      </c>
      <c r="U25" s="162">
        <f t="shared" si="8"/>
        <v>0</v>
      </c>
      <c r="V25" s="160">
        <f t="shared" si="9"/>
        <v>0</v>
      </c>
      <c r="W25" s="161">
        <f t="shared" si="3"/>
        <v>0</v>
      </c>
      <c r="X25" s="11"/>
      <c r="Y25" s="12"/>
      <c r="Z25" s="11"/>
      <c r="AA25" s="11"/>
    </row>
    <row r="26" spans="1:27" ht="27.75" customHeight="1" x14ac:dyDescent="0.3">
      <c r="A26" s="33">
        <f t="shared" si="4"/>
        <v>19</v>
      </c>
      <c r="B26" s="34"/>
      <c r="C26" s="105"/>
      <c r="D26" s="29"/>
      <c r="E26" s="29"/>
      <c r="F26" s="29"/>
      <c r="G26" s="35"/>
      <c r="H26" s="178"/>
      <c r="I26" s="36"/>
      <c r="J26" s="106"/>
      <c r="K26" s="107"/>
      <c r="L26" s="37"/>
      <c r="M26" s="109"/>
      <c r="N26" s="37"/>
      <c r="O26" s="125"/>
      <c r="P26" s="123"/>
      <c r="Q26" s="133">
        <f t="shared" si="5"/>
        <v>0</v>
      </c>
      <c r="R26" s="157"/>
      <c r="S26" s="132">
        <f t="shared" si="0"/>
        <v>0</v>
      </c>
      <c r="T26" s="158">
        <f t="shared" si="6"/>
        <v>0</v>
      </c>
      <c r="U26" s="162">
        <f t="shared" si="1"/>
        <v>0</v>
      </c>
      <c r="V26" s="160">
        <f t="shared" si="2"/>
        <v>0</v>
      </c>
      <c r="W26" s="161">
        <f t="shared" si="3"/>
        <v>0</v>
      </c>
      <c r="X26" s="11"/>
      <c r="Y26" s="12"/>
      <c r="Z26" s="11"/>
      <c r="AA26" s="11"/>
    </row>
    <row r="27" spans="1:27" ht="27.75" customHeight="1" x14ac:dyDescent="0.3">
      <c r="A27" s="33">
        <f t="shared" si="4"/>
        <v>20</v>
      </c>
      <c r="B27" s="34"/>
      <c r="C27" s="105"/>
      <c r="D27" s="29"/>
      <c r="E27" s="29"/>
      <c r="F27" s="29"/>
      <c r="G27" s="35"/>
      <c r="H27" s="178"/>
      <c r="I27" s="36"/>
      <c r="J27" s="106"/>
      <c r="K27" s="107"/>
      <c r="L27" s="37"/>
      <c r="M27" s="109"/>
      <c r="N27" s="37"/>
      <c r="O27" s="125"/>
      <c r="P27" s="123"/>
      <c r="Q27" s="133">
        <f t="shared" si="5"/>
        <v>0</v>
      </c>
      <c r="R27" s="157"/>
      <c r="S27" s="132">
        <f t="shared" si="0"/>
        <v>0</v>
      </c>
      <c r="T27" s="158">
        <f t="shared" si="6"/>
        <v>0</v>
      </c>
      <c r="U27" s="162">
        <f t="shared" si="1"/>
        <v>0</v>
      </c>
      <c r="V27" s="160">
        <f t="shared" si="2"/>
        <v>0</v>
      </c>
      <c r="W27" s="161">
        <f t="shared" si="3"/>
        <v>0</v>
      </c>
      <c r="X27" s="11"/>
      <c r="Y27" s="12"/>
      <c r="Z27" s="11"/>
      <c r="AA27" s="11"/>
    </row>
    <row r="28" spans="1:27" ht="27.75" customHeight="1" x14ac:dyDescent="0.3">
      <c r="A28" s="33">
        <f t="shared" si="4"/>
        <v>21</v>
      </c>
      <c r="B28" s="34"/>
      <c r="C28" s="105"/>
      <c r="D28" s="29"/>
      <c r="E28" s="29"/>
      <c r="F28" s="29"/>
      <c r="G28" s="35"/>
      <c r="H28" s="178"/>
      <c r="I28" s="36"/>
      <c r="J28" s="106"/>
      <c r="K28" s="107"/>
      <c r="L28" s="37"/>
      <c r="M28" s="109"/>
      <c r="N28" s="37"/>
      <c r="O28" s="125"/>
      <c r="P28" s="123"/>
      <c r="Q28" s="133">
        <f t="shared" si="5"/>
        <v>0</v>
      </c>
      <c r="R28" s="157"/>
      <c r="S28" s="132">
        <f t="shared" si="0"/>
        <v>0</v>
      </c>
      <c r="T28" s="158">
        <f t="shared" si="6"/>
        <v>0</v>
      </c>
      <c r="U28" s="162">
        <f t="shared" si="1"/>
        <v>0</v>
      </c>
      <c r="V28" s="160">
        <f t="shared" si="2"/>
        <v>0</v>
      </c>
      <c r="W28" s="161">
        <f t="shared" si="3"/>
        <v>0</v>
      </c>
      <c r="X28" s="11"/>
      <c r="Y28" s="12"/>
      <c r="Z28" s="11"/>
      <c r="AA28" s="11"/>
    </row>
    <row r="29" spans="1:27" ht="27.75" customHeight="1" x14ac:dyDescent="0.3">
      <c r="A29" s="33">
        <f t="shared" si="4"/>
        <v>22</v>
      </c>
      <c r="B29" s="38"/>
      <c r="C29" s="105"/>
      <c r="D29" s="29"/>
      <c r="E29" s="175"/>
      <c r="F29" s="29"/>
      <c r="G29" s="39"/>
      <c r="H29" s="179"/>
      <c r="I29" s="40"/>
      <c r="J29" s="106"/>
      <c r="K29" s="107"/>
      <c r="L29" s="41"/>
      <c r="M29" s="110"/>
      <c r="N29" s="41"/>
      <c r="O29" s="125"/>
      <c r="P29" s="123"/>
      <c r="Q29" s="134">
        <f t="shared" si="5"/>
        <v>0</v>
      </c>
      <c r="R29" s="157"/>
      <c r="S29" s="132">
        <f t="shared" si="0"/>
        <v>0</v>
      </c>
      <c r="T29" s="158">
        <f t="shared" si="6"/>
        <v>0</v>
      </c>
      <c r="U29" s="163">
        <f t="shared" si="1"/>
        <v>0</v>
      </c>
      <c r="V29" s="160">
        <f>IF(AND(J29="Otra(s) Institución(es)",K29="Especie"),(N29*Q29)+S29,0)</f>
        <v>0</v>
      </c>
      <c r="W29" s="161">
        <f t="shared" si="3"/>
        <v>0</v>
      </c>
      <c r="X29" s="15"/>
      <c r="Y29" s="42"/>
      <c r="Z29" s="15"/>
      <c r="AA29" s="15"/>
    </row>
    <row r="30" spans="1:27" ht="15.5" x14ac:dyDescent="0.3">
      <c r="A30" s="43"/>
      <c r="B30" s="44"/>
      <c r="C30" s="44"/>
      <c r="D30" s="44"/>
      <c r="E30" s="44"/>
      <c r="F30" s="44"/>
      <c r="G30" s="44"/>
      <c r="H30" s="44"/>
      <c r="I30" s="45"/>
      <c r="J30" s="424" t="s">
        <v>80</v>
      </c>
      <c r="K30" s="425"/>
      <c r="L30" s="425"/>
      <c r="M30" s="425"/>
      <c r="N30" s="425"/>
      <c r="O30" s="425"/>
      <c r="P30" s="425"/>
      <c r="Q30" s="425"/>
      <c r="R30" s="425"/>
      <c r="S30" s="46">
        <f>SUM(S7:S29)</f>
        <v>0</v>
      </c>
      <c r="T30" s="47">
        <f>SUM(T7:T29)</f>
        <v>0</v>
      </c>
      <c r="U30" s="48">
        <f>SUM(U7:U29)</f>
        <v>0</v>
      </c>
      <c r="V30" s="48">
        <f>SUM(V7:V29)</f>
        <v>0</v>
      </c>
      <c r="W30" s="49">
        <f>SUM(W7:W29)</f>
        <v>0</v>
      </c>
      <c r="X30" s="11"/>
      <c r="Y30" s="12"/>
      <c r="Z30" s="11"/>
      <c r="AA30" s="11"/>
    </row>
    <row r="32" spans="1:27" x14ac:dyDescent="0.3">
      <c r="C32" s="13"/>
      <c r="D32" s="13"/>
      <c r="E32" s="13"/>
      <c r="F32" s="13"/>
      <c r="G32" s="50"/>
      <c r="H32" s="13"/>
      <c r="I32" s="13"/>
      <c r="J32" s="13"/>
      <c r="K32" s="13"/>
      <c r="L32" s="13"/>
      <c r="M32" s="13"/>
      <c r="N32" s="13"/>
      <c r="O32" s="13"/>
      <c r="P32" s="13"/>
      <c r="Q32" s="13"/>
    </row>
    <row r="33" spans="3:17" x14ac:dyDescent="0.3">
      <c r="C33" s="116" t="s">
        <v>81</v>
      </c>
      <c r="D33" s="116"/>
      <c r="E33" s="116"/>
      <c r="F33" s="116"/>
      <c r="G33" s="116"/>
      <c r="H33" s="116"/>
      <c r="I33" s="119"/>
      <c r="J33" s="119"/>
      <c r="K33" s="119"/>
      <c r="L33" s="405"/>
      <c r="M33" s="405"/>
      <c r="N33" s="405"/>
      <c r="P33" s="13"/>
      <c r="Q33" s="13"/>
    </row>
    <row r="34" spans="3:17" x14ac:dyDescent="0.3">
      <c r="C34" s="96" t="s">
        <v>82</v>
      </c>
      <c r="D34" s="96" t="s">
        <v>83</v>
      </c>
      <c r="E34" s="443" t="s">
        <v>84</v>
      </c>
      <c r="F34" s="444"/>
      <c r="G34" s="444"/>
      <c r="H34" s="445"/>
      <c r="I34" s="24"/>
      <c r="J34" s="24"/>
      <c r="K34" s="24"/>
      <c r="M34" s="13"/>
      <c r="N34" s="13"/>
    </row>
    <row r="35" spans="3:17" ht="42.75" customHeight="1" x14ac:dyDescent="0.3">
      <c r="C35" s="97" t="s">
        <v>85</v>
      </c>
      <c r="D35" s="98">
        <v>5.2199999999999998E-3</v>
      </c>
      <c r="E35" s="446" t="s">
        <v>86</v>
      </c>
      <c r="F35" s="447"/>
      <c r="G35" s="447"/>
      <c r="H35" s="448"/>
      <c r="I35" s="12"/>
      <c r="J35" s="103"/>
      <c r="K35" s="103"/>
      <c r="M35" s="13"/>
      <c r="N35" s="13"/>
    </row>
    <row r="36" spans="3:17" ht="47.25" customHeight="1" x14ac:dyDescent="0.3">
      <c r="C36" s="97" t="s">
        <v>87</v>
      </c>
      <c r="D36" s="98">
        <v>1.044E-2</v>
      </c>
      <c r="E36" s="446" t="s">
        <v>88</v>
      </c>
      <c r="F36" s="447"/>
      <c r="G36" s="447"/>
      <c r="H36" s="448"/>
      <c r="I36" s="12"/>
      <c r="J36" s="103"/>
      <c r="K36" s="104"/>
      <c r="M36" s="13"/>
      <c r="N36" s="13"/>
    </row>
    <row r="37" spans="3:17" ht="44.25" customHeight="1" x14ac:dyDescent="0.3">
      <c r="C37" s="97" t="s">
        <v>89</v>
      </c>
      <c r="D37" s="98">
        <v>2.436E-2</v>
      </c>
      <c r="E37" s="446" t="s">
        <v>90</v>
      </c>
      <c r="F37" s="447"/>
      <c r="G37" s="447"/>
      <c r="H37" s="448"/>
      <c r="I37" s="12"/>
      <c r="J37" s="103"/>
      <c r="K37" s="102"/>
      <c r="M37" s="13"/>
      <c r="N37" s="13"/>
    </row>
    <row r="38" spans="3:17" ht="42.75" customHeight="1" x14ac:dyDescent="0.3">
      <c r="C38" s="97" t="s">
        <v>91</v>
      </c>
      <c r="D38" s="98">
        <v>4.3499999999999997E-2</v>
      </c>
      <c r="E38" s="446" t="s">
        <v>92</v>
      </c>
      <c r="F38" s="447"/>
      <c r="G38" s="447"/>
      <c r="H38" s="448"/>
      <c r="I38" s="12"/>
      <c r="J38" s="103"/>
      <c r="K38" s="102"/>
      <c r="M38" s="13"/>
      <c r="N38" s="13"/>
    </row>
    <row r="39" spans="3:17" ht="40.5" customHeight="1" x14ac:dyDescent="0.3">
      <c r="C39" s="97" t="s">
        <v>93</v>
      </c>
      <c r="D39" s="98">
        <v>6.9599999999999995E-2</v>
      </c>
      <c r="E39" s="446" t="s">
        <v>94</v>
      </c>
      <c r="F39" s="447"/>
      <c r="G39" s="447"/>
      <c r="H39" s="448"/>
      <c r="I39" s="12"/>
      <c r="J39" s="103"/>
      <c r="K39" s="103"/>
      <c r="M39" s="13"/>
      <c r="N39" s="13"/>
    </row>
    <row r="40" spans="3:17" x14ac:dyDescent="0.3">
      <c r="C40" s="13"/>
      <c r="D40" s="13"/>
      <c r="E40" s="13"/>
      <c r="F40" s="13"/>
      <c r="G40" s="13"/>
      <c r="H40" s="13"/>
      <c r="I40" s="13"/>
      <c r="J40" s="13"/>
      <c r="K40" s="13"/>
      <c r="L40" s="12"/>
      <c r="M40" s="5"/>
      <c r="N40" s="5"/>
      <c r="O40" s="13"/>
      <c r="P40" s="13"/>
      <c r="Q40" s="13"/>
    </row>
    <row r="41" spans="3:17" x14ac:dyDescent="0.3">
      <c r="C41" s="119" t="s">
        <v>95</v>
      </c>
      <c r="D41" s="119"/>
      <c r="E41" s="119"/>
      <c r="F41" s="119"/>
      <c r="G41" s="119"/>
      <c r="H41" s="119"/>
      <c r="I41" s="119"/>
      <c r="J41" s="13"/>
      <c r="K41" s="13"/>
      <c r="L41" s="12"/>
      <c r="M41" s="5"/>
      <c r="N41" s="5"/>
      <c r="O41" s="13"/>
      <c r="P41" s="13"/>
      <c r="Q41" s="13"/>
    </row>
    <row r="42" spans="3:17" ht="39" x14ac:dyDescent="0.3">
      <c r="C42" s="101" t="s">
        <v>96</v>
      </c>
      <c r="D42" s="101" t="s">
        <v>59</v>
      </c>
      <c r="E42" s="117" t="s">
        <v>348</v>
      </c>
      <c r="F42" s="118" t="s">
        <v>349</v>
      </c>
      <c r="G42" s="440" t="s">
        <v>97</v>
      </c>
      <c r="H42" s="441"/>
      <c r="I42" s="441"/>
      <c r="J42" s="442"/>
      <c r="K42" s="13"/>
      <c r="L42" s="13"/>
    </row>
    <row r="43" spans="3:17" x14ac:dyDescent="0.3">
      <c r="C43" s="99">
        <v>1</v>
      </c>
      <c r="D43" s="228" t="s">
        <v>98</v>
      </c>
      <c r="E43" s="229">
        <v>305000</v>
      </c>
      <c r="F43" s="230">
        <v>305000</v>
      </c>
      <c r="G43" s="457"/>
      <c r="H43" s="458"/>
      <c r="I43" s="458"/>
      <c r="J43" s="459"/>
      <c r="K43" s="13"/>
      <c r="L43" s="13"/>
    </row>
    <row r="44" spans="3:17" x14ac:dyDescent="0.3">
      <c r="C44" s="99">
        <v>2</v>
      </c>
      <c r="D44" s="228" t="s">
        <v>99</v>
      </c>
      <c r="E44" s="229">
        <v>305000</v>
      </c>
      <c r="F44" s="230">
        <v>305000</v>
      </c>
      <c r="G44" s="457"/>
      <c r="H44" s="458"/>
      <c r="I44" s="458"/>
      <c r="J44" s="459"/>
    </row>
    <row r="45" spans="3:17" ht="61.5" customHeight="1" x14ac:dyDescent="0.3">
      <c r="C45" s="99">
        <v>3</v>
      </c>
      <c r="D45" s="228" t="s">
        <v>100</v>
      </c>
      <c r="E45" s="229">
        <f>año_actual/120</f>
        <v>12704.741666666667</v>
      </c>
      <c r="F45" s="230">
        <f>año_siguiente/120</f>
        <v>13467.026166666668</v>
      </c>
      <c r="G45" s="437" t="s">
        <v>101</v>
      </c>
      <c r="H45" s="438"/>
      <c r="I45" s="438"/>
      <c r="J45" s="439"/>
    </row>
    <row r="46" spans="3:17" ht="58.5" customHeight="1" x14ac:dyDescent="0.3">
      <c r="C46" s="99">
        <v>4</v>
      </c>
      <c r="D46" s="231" t="s">
        <v>102</v>
      </c>
      <c r="E46" s="229">
        <f>año_actual/120</f>
        <v>12704.741666666667</v>
      </c>
      <c r="F46" s="230">
        <f>año_siguiente/120</f>
        <v>13467.026166666668</v>
      </c>
      <c r="G46" s="437" t="s">
        <v>101</v>
      </c>
      <c r="H46" s="438"/>
      <c r="I46" s="438"/>
      <c r="J46" s="439"/>
    </row>
    <row r="47" spans="3:17" ht="58.5" customHeight="1" x14ac:dyDescent="0.3">
      <c r="C47" s="99">
        <v>5</v>
      </c>
      <c r="D47" s="231" t="s">
        <v>103</v>
      </c>
      <c r="E47" s="229">
        <f>año_actual/120</f>
        <v>12704.741666666667</v>
      </c>
      <c r="F47" s="230">
        <f>año_siguiente/120</f>
        <v>13467.026166666668</v>
      </c>
      <c r="G47" s="437" t="s">
        <v>101</v>
      </c>
      <c r="H47" s="438"/>
      <c r="I47" s="438"/>
      <c r="J47" s="439"/>
    </row>
    <row r="48" spans="3:17" ht="58.5" customHeight="1" x14ac:dyDescent="0.3">
      <c r="C48" s="99">
        <v>6</v>
      </c>
      <c r="D48" s="231" t="s">
        <v>104</v>
      </c>
      <c r="E48" s="229">
        <f>año_actual/120</f>
        <v>12704.741666666667</v>
      </c>
      <c r="F48" s="230">
        <f>año_siguiente/120</f>
        <v>13467.026166666668</v>
      </c>
      <c r="G48" s="437" t="s">
        <v>101</v>
      </c>
      <c r="H48" s="438"/>
      <c r="I48" s="438"/>
      <c r="J48" s="439"/>
    </row>
    <row r="49" spans="3:10" ht="29.25" customHeight="1" x14ac:dyDescent="0.3">
      <c r="C49" s="99">
        <v>7</v>
      </c>
      <c r="D49" s="100" t="s">
        <v>105</v>
      </c>
      <c r="E49" s="169" t="s">
        <v>106</v>
      </c>
      <c r="F49" s="169" t="s">
        <v>106</v>
      </c>
      <c r="G49" s="437" t="s">
        <v>107</v>
      </c>
      <c r="H49" s="438"/>
      <c r="I49" s="438"/>
      <c r="J49" s="439"/>
    </row>
    <row r="50" spans="3:10" ht="29.25" customHeight="1" x14ac:dyDescent="0.3">
      <c r="C50" s="99">
        <v>8</v>
      </c>
      <c r="D50" s="100" t="s">
        <v>108</v>
      </c>
      <c r="E50" s="169" t="s">
        <v>106</v>
      </c>
      <c r="F50" s="169" t="s">
        <v>106</v>
      </c>
      <c r="G50" s="437" t="s">
        <v>109</v>
      </c>
      <c r="H50" s="438"/>
      <c r="I50" s="438"/>
      <c r="J50" s="439"/>
    </row>
    <row r="52" spans="3:10" x14ac:dyDescent="0.3">
      <c r="C52" s="14" t="s">
        <v>110</v>
      </c>
    </row>
  </sheetData>
  <mergeCells count="45">
    <mergeCell ref="G48:J48"/>
    <mergeCell ref="G50:J50"/>
    <mergeCell ref="G49:J49"/>
    <mergeCell ref="G43:J43"/>
    <mergeCell ref="G44:J44"/>
    <mergeCell ref="G45:J45"/>
    <mergeCell ref="G46:J46"/>
    <mergeCell ref="D5:D6"/>
    <mergeCell ref="E5:E6"/>
    <mergeCell ref="F5:F6"/>
    <mergeCell ref="A3:XFD3"/>
    <mergeCell ref="G47:J47"/>
    <mergeCell ref="G42:J42"/>
    <mergeCell ref="E34:H34"/>
    <mergeCell ref="E39:H39"/>
    <mergeCell ref="E38:H38"/>
    <mergeCell ref="E37:H37"/>
    <mergeCell ref="E36:H36"/>
    <mergeCell ref="E35:H35"/>
    <mergeCell ref="Q5:Q6"/>
    <mergeCell ref="H5:H6"/>
    <mergeCell ref="I5:I6"/>
    <mergeCell ref="J5:J6"/>
    <mergeCell ref="S5:S6"/>
    <mergeCell ref="K5:K6"/>
    <mergeCell ref="L5:L6"/>
    <mergeCell ref="N5:N6"/>
    <mergeCell ref="O5:O6"/>
    <mergeCell ref="P5:P6"/>
    <mergeCell ref="A1:W1"/>
    <mergeCell ref="L33:N33"/>
    <mergeCell ref="A4:A6"/>
    <mergeCell ref="B4:I4"/>
    <mergeCell ref="T4:W4"/>
    <mergeCell ref="B5:B6"/>
    <mergeCell ref="C5:C6"/>
    <mergeCell ref="G5:G6"/>
    <mergeCell ref="V5:W5"/>
    <mergeCell ref="M5:M6"/>
    <mergeCell ref="R5:R6"/>
    <mergeCell ref="C2:W2"/>
    <mergeCell ref="J30:R30"/>
    <mergeCell ref="A2:B2"/>
    <mergeCell ref="J4:S4"/>
    <mergeCell ref="T5:U5"/>
  </mergeCells>
  <dataValidations xWindow="1248" yWindow="455" count="7">
    <dataValidation allowBlank="1" showInputMessage="1" showErrorMessage="1" prompt="Este rubro aplica para la vinculación de estudiantes en modalidad de auxiliatura y se calcula multiplicando los meses de vinculación, el porcentaje del riesgo y el smlmv, según tabla 1. " sqref="S7:S29" xr:uid="{00000000-0002-0000-0100-000000000000}"/>
    <dataValidation type="list" allowBlank="1" showInputMessage="1" showErrorMessage="1" prompt="Se deberá diligenciar fila por cada año según la ejecución de la propuesta, de acuerdo a los términos de referencia de la convocatoria." sqref="M7:M29" xr:uid="{00000000-0002-0000-0100-000001000000}">
      <formula1>año</formula1>
    </dataValidation>
    <dataValidation allowBlank="1" showInputMessage="1" showErrorMessage="1" prompt="Ej. Manejo de algún software específico, conocimientos técnicos específicos, dominio de segunda lengua, entre otros." sqref="F7:F29" xr:uid="{00000000-0002-0000-0100-000003000000}"/>
    <dataValidation allowBlank="1" showInputMessage="1" showErrorMessage="1" prompt="Mencionar el máximo título académico ej.: Doctorado en Física." sqref="D7:D29" xr:uid="{00000000-0002-0000-0100-000004000000}"/>
    <dataValidation type="list" allowBlank="1" showInputMessage="1" showErrorMessage="1" prompt="Aplica sólo para vinculación de estudiantes a través de auxiliatura, INCLUYE vinculación Ad- Honorem, y se deberá relacionar el tipo de riesgos según las actividades a realizar, revisar tabla 1. dispuesta en esta hoja." sqref="R7:R29" xr:uid="{00000000-0002-0000-0100-000005000000}">
      <formula1>Riesgos_estudiantes</formula1>
    </dataValidation>
    <dataValidation allowBlank="1" showInputMessage="1" showErrorMessage="1" prompt="Revisar tabla 2 dispuesta en esta hoja, para calcular el valor de la hora correspondiente al año 2020, 2021 o 2022. Si es Ad-honorem colocar $0." sqref="P8:P29" xr:uid="{00000000-0002-0000-0100-000006000000}"/>
    <dataValidation allowBlank="1" showInputMessage="1" showErrorMessage="1" prompt="Revisar tabla 2 dispuesta en esta hoja, para calcular el valor de la hora correspondiente al año 2024, o 2025. Si es Ad-honorem colocar $0." sqref="P7" xr:uid="{3956763B-6564-4C43-9F83-BED4E961F6A1}"/>
  </dataValidations>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xWindow="1248" yWindow="455" count="5">
        <x14:dataValidation type="list" allowBlank="1" showInputMessage="1" showErrorMessage="1" xr:uid="{00000000-0002-0000-0100-000007000000}">
          <x14:formula1>
            <xm:f>Listas!$A$47:$A$48</xm:f>
          </x14:formula1>
          <xm:sqref>J7:J29</xm:sqref>
        </x14:dataValidation>
        <x14:dataValidation type="list" allowBlank="1" showInputMessage="1" showErrorMessage="1" xr:uid="{00000000-0002-0000-0100-000008000000}">
          <x14:formula1>
            <xm:f>Listas!$A$36:$A$43</xm:f>
          </x14:formula1>
          <xm:sqref>C7:C29</xm:sqref>
        </x14:dataValidation>
        <x14:dataValidation type="list" allowBlank="1" showInputMessage="1" showErrorMessage="1" prompt="Aplica &quot;En especie&quot; para profesores planta participantes que incluye el Director y Coinvestigadores, y para los investigadores de Otras Instituciones que aportan contrapartida en especie." xr:uid="{00000000-0002-0000-0100-000009000000}">
          <x14:formula1>
            <xm:f>Listas!$A$52:$A$54</xm:f>
          </x14:formula1>
          <xm:sqref>K8:K29</xm:sqref>
        </x14:dataValidation>
        <x14:dataValidation type="list" allowBlank="1" showInputMessage="1" showErrorMessage="1" prompt="El rubro &quot;honorarios&quot; aplica para el equipo de investigación según tipo financiación en &quot;Efectivo&quot; o &quot;Especie&quot;, EXCEPTO para los estudiantes que se vinculan en modalidad de auxiliaturas. Para Ad-honorem NO seleccionar rubro." xr:uid="{00000000-0002-0000-0100-00000A000000}">
          <x14:formula1>
            <xm:f>Listas!$A$58:$A$60</xm:f>
          </x14:formula1>
          <xm:sqref>O7:O29</xm:sqref>
        </x14:dataValidation>
        <x14:dataValidation type="list" allowBlank="1" showInputMessage="1" showErrorMessage="1" prompt="Aplica &quot;En especie&quot; para profesores planta participantes que incluye el Director y Coinvestigadores, y para los investigadores de otras Instituciones que aportan contrapartida en especie." xr:uid="{486C0126-4211-4823-ADBE-1133AC200E66}">
          <x14:formula1>
            <xm:f>Listas!$A$52:$A$54</xm:f>
          </x14:formula1>
          <xm:sqref>K7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03"/>
  <sheetViews>
    <sheetView topLeftCell="C1" workbookViewId="0">
      <selection activeCell="F8" sqref="F8"/>
    </sheetView>
  </sheetViews>
  <sheetFormatPr baseColWidth="10" defaultColWidth="11.453125" defaultRowHeight="14" x14ac:dyDescent="0.35"/>
  <cols>
    <col min="1" max="1" width="4.453125" style="12" bestFit="1" customWidth="1"/>
    <col min="2" max="2" width="26" style="11" customWidth="1"/>
    <col min="3" max="3" width="46.7265625" style="1" customWidth="1"/>
    <col min="4" max="4" width="20.1796875" style="1" customWidth="1"/>
    <col min="5" max="5" width="28.453125" style="1" customWidth="1"/>
    <col min="6" max="6" width="17.26953125" style="1" customWidth="1"/>
    <col min="7" max="10" width="15.453125" style="22" customWidth="1"/>
    <col min="11" max="11" width="22" style="62" customWidth="1"/>
    <col min="12" max="12" width="13.453125" style="1" customWidth="1"/>
    <col min="13" max="13" width="12.453125" style="1" customWidth="1"/>
    <col min="14" max="14" width="14" style="1" customWidth="1"/>
    <col min="15" max="15" width="37.26953125" style="1" bestFit="1" customWidth="1"/>
    <col min="16" max="16" width="112.453125" style="1" customWidth="1"/>
    <col min="17" max="16384" width="11.453125" style="1"/>
  </cols>
  <sheetData>
    <row r="1" spans="1:13" x14ac:dyDescent="0.35">
      <c r="A1" s="493" t="s">
        <v>111</v>
      </c>
      <c r="B1" s="493"/>
      <c r="C1" s="493"/>
      <c r="D1" s="493"/>
      <c r="E1" s="493"/>
      <c r="F1" s="493"/>
      <c r="G1" s="493"/>
      <c r="H1" s="493"/>
      <c r="I1" s="493"/>
      <c r="J1" s="493"/>
      <c r="K1" s="493"/>
    </row>
    <row r="2" spans="1:13" ht="36" customHeight="1" x14ac:dyDescent="0.35">
      <c r="A2" s="504" t="s">
        <v>54</v>
      </c>
      <c r="B2" s="504"/>
      <c r="C2" s="494">
        <f>Formato!$E$7</f>
        <v>0</v>
      </c>
      <c r="D2" s="494"/>
      <c r="E2" s="494"/>
      <c r="F2" s="494"/>
      <c r="G2" s="494"/>
      <c r="H2" s="494"/>
      <c r="I2" s="494"/>
      <c r="J2" s="494"/>
      <c r="K2" s="494"/>
    </row>
    <row r="3" spans="1:13" ht="14.5" thickBot="1" x14ac:dyDescent="0.4">
      <c r="A3" s="120"/>
      <c r="B3" s="120"/>
      <c r="C3" s="146"/>
      <c r="D3" s="146"/>
      <c r="E3" s="146"/>
      <c r="F3" s="146"/>
      <c r="G3" s="146"/>
      <c r="H3" s="146"/>
      <c r="I3" s="146"/>
      <c r="J3" s="146"/>
      <c r="K3" s="146"/>
    </row>
    <row r="4" spans="1:13" ht="14.5" thickTop="1" x14ac:dyDescent="0.35">
      <c r="A4" s="490" t="s">
        <v>112</v>
      </c>
      <c r="B4" s="491"/>
      <c r="C4" s="491"/>
      <c r="D4" s="491"/>
      <c r="E4" s="491"/>
      <c r="F4" s="491"/>
      <c r="G4" s="491"/>
      <c r="H4" s="491"/>
      <c r="I4" s="491"/>
      <c r="J4" s="491"/>
      <c r="K4" s="492"/>
    </row>
    <row r="5" spans="1:13" x14ac:dyDescent="0.35">
      <c r="A5" s="489" t="s">
        <v>55</v>
      </c>
      <c r="B5" s="503" t="s">
        <v>113</v>
      </c>
      <c r="C5" s="480" t="s">
        <v>114</v>
      </c>
      <c r="D5" s="480"/>
      <c r="E5" s="480"/>
      <c r="F5" s="480" t="s">
        <v>69</v>
      </c>
      <c r="G5" s="467" t="s">
        <v>115</v>
      </c>
      <c r="H5" s="468"/>
      <c r="I5" s="468"/>
      <c r="J5" s="469"/>
      <c r="K5" s="462" t="s">
        <v>80</v>
      </c>
    </row>
    <row r="6" spans="1:13" ht="14.25" customHeight="1" x14ac:dyDescent="0.35">
      <c r="A6" s="489"/>
      <c r="B6" s="503"/>
      <c r="C6" s="481"/>
      <c r="D6" s="481"/>
      <c r="E6" s="481"/>
      <c r="F6" s="481"/>
      <c r="G6" s="465" t="s">
        <v>116</v>
      </c>
      <c r="H6" s="466"/>
      <c r="I6" s="465" t="s">
        <v>77</v>
      </c>
      <c r="J6" s="466"/>
      <c r="K6" s="463"/>
    </row>
    <row r="7" spans="1:13" ht="14.25" customHeight="1" x14ac:dyDescent="0.35">
      <c r="A7" s="489"/>
      <c r="B7" s="503"/>
      <c r="C7" s="482"/>
      <c r="D7" s="482"/>
      <c r="E7" s="482"/>
      <c r="F7" s="482"/>
      <c r="G7" s="54" t="s">
        <v>78</v>
      </c>
      <c r="H7" s="55" t="s">
        <v>79</v>
      </c>
      <c r="I7" s="55" t="s">
        <v>79</v>
      </c>
      <c r="J7" s="55" t="s">
        <v>78</v>
      </c>
      <c r="K7" s="464"/>
    </row>
    <row r="8" spans="1:13" ht="14.25" customHeight="1" x14ac:dyDescent="0.35">
      <c r="A8" s="60">
        <v>1</v>
      </c>
      <c r="B8" s="72"/>
      <c r="C8" s="307"/>
      <c r="D8" s="307"/>
      <c r="E8" s="307"/>
      <c r="F8" s="108"/>
      <c r="G8" s="75"/>
      <c r="H8" s="75"/>
      <c r="I8" s="75"/>
      <c r="J8" s="75"/>
      <c r="K8" s="136">
        <f>SUM(G8:J8)</f>
        <v>0</v>
      </c>
    </row>
    <row r="9" spans="1:13" ht="14.25" customHeight="1" x14ac:dyDescent="0.35">
      <c r="A9" s="51">
        <v>2</v>
      </c>
      <c r="B9" s="73"/>
      <c r="C9" s="326"/>
      <c r="D9" s="326"/>
      <c r="E9" s="326"/>
      <c r="F9" s="109"/>
      <c r="G9" s="76"/>
      <c r="H9" s="76"/>
      <c r="I9" s="76"/>
      <c r="J9" s="76"/>
      <c r="K9" s="136">
        <f>SUM(G9:J9)</f>
        <v>0</v>
      </c>
    </row>
    <row r="10" spans="1:13" x14ac:dyDescent="0.35">
      <c r="A10" s="51">
        <v>3</v>
      </c>
      <c r="B10" s="73"/>
      <c r="C10" s="326"/>
      <c r="D10" s="326"/>
      <c r="E10" s="326"/>
      <c r="F10" s="109"/>
      <c r="G10" s="76"/>
      <c r="H10" s="76"/>
      <c r="I10" s="76"/>
      <c r="J10" s="76"/>
      <c r="K10" s="136">
        <f t="shared" ref="K10:K12" si="0">SUM(G10:J10)</f>
        <v>0</v>
      </c>
    </row>
    <row r="11" spans="1:13" x14ac:dyDescent="0.35">
      <c r="A11" s="51">
        <v>4</v>
      </c>
      <c r="B11" s="73"/>
      <c r="C11" s="326"/>
      <c r="D11" s="326"/>
      <c r="E11" s="326"/>
      <c r="F11" s="109"/>
      <c r="G11" s="76"/>
      <c r="H11" s="76"/>
      <c r="I11" s="76"/>
      <c r="J11" s="76"/>
      <c r="K11" s="136">
        <f t="shared" si="0"/>
        <v>0</v>
      </c>
    </row>
    <row r="12" spans="1:13" x14ac:dyDescent="0.35">
      <c r="A12" s="61">
        <v>5</v>
      </c>
      <c r="B12" s="74"/>
      <c r="C12" s="475"/>
      <c r="D12" s="475"/>
      <c r="E12" s="475"/>
      <c r="F12" s="126"/>
      <c r="G12" s="77"/>
      <c r="H12" s="77"/>
      <c r="I12" s="77"/>
      <c r="J12" s="77"/>
      <c r="K12" s="136">
        <f t="shared" si="0"/>
        <v>0</v>
      </c>
    </row>
    <row r="13" spans="1:13" ht="14.5" thickBot="1" x14ac:dyDescent="0.4">
      <c r="A13" s="529"/>
      <c r="B13" s="530"/>
      <c r="C13" s="530"/>
      <c r="D13" s="530"/>
      <c r="E13" s="95"/>
      <c r="F13" s="95" t="s">
        <v>117</v>
      </c>
      <c r="G13" s="135">
        <f>SUM(G8:G12)</f>
        <v>0</v>
      </c>
      <c r="H13" s="135">
        <f t="shared" ref="H13:I13" si="1">SUM(H8:H12)</f>
        <v>0</v>
      </c>
      <c r="I13" s="135">
        <f t="shared" si="1"/>
        <v>0</v>
      </c>
      <c r="J13" s="135">
        <f>SUM(J8:J12)</f>
        <v>0</v>
      </c>
      <c r="K13" s="135">
        <f>SUM(K8:K12)</f>
        <v>0</v>
      </c>
    </row>
    <row r="14" spans="1:13" ht="15" thickTop="1" thickBot="1" x14ac:dyDescent="0.4">
      <c r="A14" s="11"/>
      <c r="C14" s="11"/>
      <c r="D14" s="11"/>
      <c r="E14" s="11"/>
      <c r="F14" s="11"/>
      <c r="G14" s="11"/>
      <c r="H14" s="11"/>
      <c r="I14" s="11"/>
      <c r="J14" s="121"/>
      <c r="K14" s="122"/>
    </row>
    <row r="15" spans="1:13" ht="15.75" customHeight="1" thickTop="1" x14ac:dyDescent="0.35">
      <c r="A15" s="490" t="s">
        <v>118</v>
      </c>
      <c r="B15" s="491"/>
      <c r="C15" s="491"/>
      <c r="D15" s="491"/>
      <c r="E15" s="491"/>
      <c r="F15" s="491"/>
      <c r="G15" s="491"/>
      <c r="H15" s="491"/>
      <c r="I15" s="491"/>
      <c r="J15" s="491"/>
      <c r="K15" s="492"/>
      <c r="M15" s="57"/>
    </row>
    <row r="16" spans="1:13" x14ac:dyDescent="0.35">
      <c r="A16" s="489" t="s">
        <v>55</v>
      </c>
      <c r="B16" s="503" t="s">
        <v>113</v>
      </c>
      <c r="C16" s="483" t="s">
        <v>114</v>
      </c>
      <c r="D16" s="486"/>
      <c r="E16" s="480" t="s">
        <v>71</v>
      </c>
      <c r="F16" s="480" t="s">
        <v>69</v>
      </c>
      <c r="G16" s="467" t="s">
        <v>115</v>
      </c>
      <c r="H16" s="468"/>
      <c r="I16" s="468"/>
      <c r="J16" s="469"/>
      <c r="K16" s="462" t="s">
        <v>80</v>
      </c>
    </row>
    <row r="17" spans="1:16" ht="14.25" customHeight="1" x14ac:dyDescent="0.35">
      <c r="A17" s="489"/>
      <c r="B17" s="503"/>
      <c r="C17" s="484"/>
      <c r="D17" s="487"/>
      <c r="E17" s="481"/>
      <c r="F17" s="481"/>
      <c r="G17" s="465" t="s">
        <v>116</v>
      </c>
      <c r="H17" s="466"/>
      <c r="I17" s="465" t="s">
        <v>77</v>
      </c>
      <c r="J17" s="466"/>
      <c r="K17" s="463"/>
    </row>
    <row r="18" spans="1:16" ht="14.25" customHeight="1" x14ac:dyDescent="0.35">
      <c r="A18" s="489"/>
      <c r="B18" s="503"/>
      <c r="C18" s="485"/>
      <c r="D18" s="488"/>
      <c r="E18" s="482"/>
      <c r="F18" s="482"/>
      <c r="G18" s="54" t="s">
        <v>78</v>
      </c>
      <c r="H18" s="55" t="s">
        <v>79</v>
      </c>
      <c r="I18" s="55" t="s">
        <v>79</v>
      </c>
      <c r="J18" s="55" t="s">
        <v>78</v>
      </c>
      <c r="K18" s="464"/>
    </row>
    <row r="19" spans="1:16" ht="15" customHeight="1" x14ac:dyDescent="0.35">
      <c r="A19" s="60">
        <v>1</v>
      </c>
      <c r="B19" s="72"/>
      <c r="C19" s="519"/>
      <c r="D19" s="520"/>
      <c r="E19" s="127"/>
      <c r="F19" s="108"/>
      <c r="G19" s="75"/>
      <c r="H19" s="75"/>
      <c r="I19" s="75"/>
      <c r="J19" s="75"/>
      <c r="K19" s="136">
        <f>SUM(G19:J19)</f>
        <v>0</v>
      </c>
    </row>
    <row r="20" spans="1:16" ht="15" customHeight="1" x14ac:dyDescent="0.35">
      <c r="A20" s="51">
        <v>2</v>
      </c>
      <c r="B20" s="73"/>
      <c r="C20" s="361"/>
      <c r="D20" s="505"/>
      <c r="E20" s="109"/>
      <c r="F20" s="108"/>
      <c r="G20" s="76"/>
      <c r="H20" s="76"/>
      <c r="I20" s="76"/>
      <c r="J20" s="76"/>
      <c r="K20" s="136">
        <f>SUM(G20:J20)</f>
        <v>0</v>
      </c>
    </row>
    <row r="21" spans="1:16" ht="15" customHeight="1" x14ac:dyDescent="0.35">
      <c r="A21" s="51">
        <v>3</v>
      </c>
      <c r="B21" s="73"/>
      <c r="C21" s="361"/>
      <c r="D21" s="505"/>
      <c r="E21" s="109"/>
      <c r="F21" s="108"/>
      <c r="G21" s="76"/>
      <c r="H21" s="76"/>
      <c r="I21" s="76"/>
      <c r="J21" s="76"/>
      <c r="K21" s="136">
        <f t="shared" ref="K21:K22" si="2">SUM(G21:J21)</f>
        <v>0</v>
      </c>
    </row>
    <row r="22" spans="1:16" ht="15" customHeight="1" x14ac:dyDescent="0.35">
      <c r="A22" s="51">
        <v>4</v>
      </c>
      <c r="B22" s="73"/>
      <c r="C22" s="361"/>
      <c r="D22" s="505"/>
      <c r="E22" s="109"/>
      <c r="F22" s="108"/>
      <c r="G22" s="76"/>
      <c r="H22" s="76"/>
      <c r="I22" s="76"/>
      <c r="J22" s="76"/>
      <c r="K22" s="136">
        <f t="shared" si="2"/>
        <v>0</v>
      </c>
    </row>
    <row r="23" spans="1:16" ht="15" customHeight="1" x14ac:dyDescent="0.35">
      <c r="A23" s="51">
        <v>5</v>
      </c>
      <c r="B23" s="73"/>
      <c r="C23" s="361"/>
      <c r="D23" s="505"/>
      <c r="E23" s="109"/>
      <c r="F23" s="108"/>
      <c r="G23" s="76"/>
      <c r="H23" s="76"/>
      <c r="I23" s="76"/>
      <c r="J23" s="76"/>
      <c r="K23" s="136">
        <f t="shared" ref="K23:K25" si="3">SUM(G23:J23)</f>
        <v>0</v>
      </c>
    </row>
    <row r="24" spans="1:16" ht="15" customHeight="1" x14ac:dyDescent="0.35">
      <c r="A24" s="51">
        <v>6</v>
      </c>
      <c r="B24" s="73"/>
      <c r="C24" s="361"/>
      <c r="D24" s="505"/>
      <c r="E24" s="109"/>
      <c r="F24" s="108"/>
      <c r="G24" s="76"/>
      <c r="H24" s="76"/>
      <c r="I24" s="76"/>
      <c r="J24" s="76"/>
      <c r="K24" s="136">
        <f t="shared" si="3"/>
        <v>0</v>
      </c>
    </row>
    <row r="25" spans="1:16" ht="15.75" customHeight="1" x14ac:dyDescent="0.35">
      <c r="A25" s="51">
        <v>7</v>
      </c>
      <c r="B25" s="74"/>
      <c r="C25" s="521"/>
      <c r="D25" s="522"/>
      <c r="E25" s="128"/>
      <c r="F25" s="108"/>
      <c r="G25" s="77"/>
      <c r="H25" s="77"/>
      <c r="I25" s="77"/>
      <c r="J25" s="77"/>
      <c r="K25" s="136">
        <f t="shared" si="3"/>
        <v>0</v>
      </c>
    </row>
    <row r="26" spans="1:16" ht="14.5" thickBot="1" x14ac:dyDescent="0.4">
      <c r="A26" s="529"/>
      <c r="B26" s="530"/>
      <c r="C26" s="530"/>
      <c r="D26" s="530"/>
      <c r="E26" s="95"/>
      <c r="F26" s="95" t="s">
        <v>117</v>
      </c>
      <c r="G26" s="135">
        <f>SUM(G19:G25)</f>
        <v>0</v>
      </c>
      <c r="H26" s="135">
        <f>SUM(H19:H25)</f>
        <v>0</v>
      </c>
      <c r="I26" s="135">
        <f>SUM(I19:I25)</f>
        <v>0</v>
      </c>
      <c r="J26" s="135">
        <f>SUM(J19:J25)</f>
        <v>0</v>
      </c>
      <c r="K26" s="135">
        <f t="shared" ref="K26" si="4">SUM(K19:K25)</f>
        <v>0</v>
      </c>
    </row>
    <row r="27" spans="1:16" ht="15" thickTop="1" thickBot="1" x14ac:dyDescent="0.4">
      <c r="A27" s="71"/>
      <c r="B27" s="24"/>
      <c r="C27" s="24"/>
      <c r="D27" s="24"/>
      <c r="E27" s="24"/>
      <c r="F27" s="24"/>
      <c r="G27" s="66"/>
      <c r="H27" s="66"/>
      <c r="I27" s="66"/>
      <c r="J27" s="66"/>
      <c r="K27" s="66"/>
    </row>
    <row r="28" spans="1:16" ht="14.5" thickTop="1" x14ac:dyDescent="0.35">
      <c r="A28" s="495" t="s">
        <v>119</v>
      </c>
      <c r="B28" s="496"/>
      <c r="C28" s="496"/>
      <c r="D28" s="496"/>
      <c r="E28" s="496"/>
      <c r="F28" s="496"/>
      <c r="G28" s="496"/>
      <c r="H28" s="496"/>
      <c r="I28" s="496"/>
      <c r="J28" s="496"/>
      <c r="K28" s="497"/>
    </row>
    <row r="29" spans="1:16" x14ac:dyDescent="0.35">
      <c r="A29" s="498" t="s">
        <v>55</v>
      </c>
      <c r="B29" s="483" t="s">
        <v>120</v>
      </c>
      <c r="C29" s="501" t="s">
        <v>114</v>
      </c>
      <c r="D29" s="501" t="s">
        <v>121</v>
      </c>
      <c r="E29" s="480" t="s">
        <v>71</v>
      </c>
      <c r="F29" s="480" t="s">
        <v>69</v>
      </c>
      <c r="G29" s="467" t="s">
        <v>115</v>
      </c>
      <c r="H29" s="468"/>
      <c r="I29" s="468"/>
      <c r="J29" s="469"/>
      <c r="K29" s="462" t="s">
        <v>80</v>
      </c>
    </row>
    <row r="30" spans="1:16" ht="14.25" customHeight="1" x14ac:dyDescent="0.35">
      <c r="A30" s="499"/>
      <c r="B30" s="484"/>
      <c r="C30" s="502"/>
      <c r="D30" s="502"/>
      <c r="E30" s="481"/>
      <c r="F30" s="481"/>
      <c r="G30" s="465" t="s">
        <v>116</v>
      </c>
      <c r="H30" s="466"/>
      <c r="I30" s="465" t="s">
        <v>77</v>
      </c>
      <c r="J30" s="466"/>
      <c r="K30" s="463"/>
    </row>
    <row r="31" spans="1:16" ht="14.25" customHeight="1" x14ac:dyDescent="0.35">
      <c r="A31" s="500"/>
      <c r="B31" s="485"/>
      <c r="C31" s="392"/>
      <c r="D31" s="392"/>
      <c r="E31" s="482"/>
      <c r="F31" s="482"/>
      <c r="G31" s="54" t="s">
        <v>78</v>
      </c>
      <c r="H31" s="55" t="s">
        <v>79</v>
      </c>
      <c r="I31" s="55" t="s">
        <v>79</v>
      </c>
      <c r="J31" s="55" t="s">
        <v>78</v>
      </c>
      <c r="K31" s="464"/>
    </row>
    <row r="32" spans="1:16" x14ac:dyDescent="0.35">
      <c r="A32" s="56">
        <v>1</v>
      </c>
      <c r="B32" s="78"/>
      <c r="C32" s="78"/>
      <c r="D32" s="79"/>
      <c r="E32" s="108"/>
      <c r="F32" s="108"/>
      <c r="G32" s="75"/>
      <c r="H32" s="75"/>
      <c r="I32" s="75"/>
      <c r="J32" s="75"/>
      <c r="K32" s="136">
        <f>SUM(G32:J32)</f>
        <v>0</v>
      </c>
      <c r="M32" s="57"/>
      <c r="O32" s="68"/>
      <c r="P32" s="5"/>
    </row>
    <row r="33" spans="1:16" x14ac:dyDescent="0.35">
      <c r="A33" s="58">
        <v>2</v>
      </c>
      <c r="B33" s="80"/>
      <c r="C33" s="80"/>
      <c r="D33" s="81"/>
      <c r="E33" s="109"/>
      <c r="F33" s="109"/>
      <c r="G33" s="76"/>
      <c r="H33" s="76"/>
      <c r="I33" s="76"/>
      <c r="J33" s="76"/>
      <c r="K33" s="136">
        <f>SUM(G33:J33)</f>
        <v>0</v>
      </c>
      <c r="O33" s="69"/>
      <c r="P33" s="5"/>
    </row>
    <row r="34" spans="1:16" x14ac:dyDescent="0.35">
      <c r="A34" s="58">
        <v>3</v>
      </c>
      <c r="B34" s="80"/>
      <c r="C34" s="80"/>
      <c r="D34" s="81"/>
      <c r="E34" s="109"/>
      <c r="F34" s="109"/>
      <c r="G34" s="76"/>
      <c r="H34" s="76"/>
      <c r="I34" s="76"/>
      <c r="J34" s="76"/>
      <c r="K34" s="136">
        <f>SUM(G34:J34)</f>
        <v>0</v>
      </c>
      <c r="O34" s="69"/>
    </row>
    <row r="35" spans="1:16" x14ac:dyDescent="0.3">
      <c r="A35" s="58">
        <v>4</v>
      </c>
      <c r="B35" s="80"/>
      <c r="C35" s="80"/>
      <c r="D35" s="81"/>
      <c r="E35" s="109"/>
      <c r="F35" s="109"/>
      <c r="G35" s="76"/>
      <c r="H35" s="76"/>
      <c r="I35" s="76"/>
      <c r="J35" s="76"/>
      <c r="K35" s="136">
        <f>SUM(G35:J35)</f>
        <v>0</v>
      </c>
      <c r="O35" s="69"/>
      <c r="P35" s="59"/>
    </row>
    <row r="36" spans="1:16" x14ac:dyDescent="0.35">
      <c r="A36" s="58">
        <v>5</v>
      </c>
      <c r="B36" s="82"/>
      <c r="C36" s="82"/>
      <c r="D36" s="83"/>
      <c r="E36" s="109"/>
      <c r="F36" s="126"/>
      <c r="G36" s="76"/>
      <c r="H36" s="76"/>
      <c r="I36" s="76"/>
      <c r="J36" s="76"/>
      <c r="K36" s="136">
        <f>SUM(G36:J36)</f>
        <v>0</v>
      </c>
    </row>
    <row r="37" spans="1:16" s="23" customFormat="1" ht="14.5" thickBot="1" x14ac:dyDescent="0.4">
      <c r="A37" s="523"/>
      <c r="B37" s="524"/>
      <c r="C37" s="524"/>
      <c r="D37" s="524"/>
      <c r="E37" s="95"/>
      <c r="F37" s="95" t="s">
        <v>117</v>
      </c>
      <c r="G37" s="135">
        <f>SUM(G32:G36)</f>
        <v>0</v>
      </c>
      <c r="H37" s="135">
        <f>SUM(H32:H36)</f>
        <v>0</v>
      </c>
      <c r="I37" s="135">
        <f>SUM(I32:I36)</f>
        <v>0</v>
      </c>
      <c r="J37" s="135">
        <f>SUM(J32:J36)</f>
        <v>0</v>
      </c>
      <c r="K37" s="137">
        <f>SUM(K32:K36)</f>
        <v>0</v>
      </c>
    </row>
    <row r="38" spans="1:16" s="14" customFormat="1" ht="15" thickTop="1" thickBot="1" x14ac:dyDescent="0.35"/>
    <row r="39" spans="1:16" ht="14.5" thickTop="1" x14ac:dyDescent="0.35">
      <c r="A39" s="476" t="s">
        <v>122</v>
      </c>
      <c r="B39" s="477"/>
      <c r="C39" s="477"/>
      <c r="D39" s="477"/>
      <c r="E39" s="477"/>
      <c r="F39" s="477"/>
      <c r="G39" s="477"/>
      <c r="H39" s="477"/>
      <c r="I39" s="477"/>
      <c r="J39" s="477"/>
      <c r="K39" s="478"/>
    </row>
    <row r="40" spans="1:16" x14ac:dyDescent="0.35">
      <c r="A40" s="489" t="s">
        <v>55</v>
      </c>
      <c r="B40" s="503" t="s">
        <v>113</v>
      </c>
      <c r="C40" s="480" t="s">
        <v>114</v>
      </c>
      <c r="D40" s="480"/>
      <c r="E40" s="480"/>
      <c r="F40" s="480" t="s">
        <v>69</v>
      </c>
      <c r="G40" s="467" t="s">
        <v>115</v>
      </c>
      <c r="H40" s="468"/>
      <c r="I40" s="468"/>
      <c r="J40" s="469"/>
      <c r="K40" s="462" t="s">
        <v>80</v>
      </c>
    </row>
    <row r="41" spans="1:16" x14ac:dyDescent="0.35">
      <c r="A41" s="489"/>
      <c r="B41" s="503"/>
      <c r="C41" s="481"/>
      <c r="D41" s="481"/>
      <c r="E41" s="481"/>
      <c r="F41" s="481"/>
      <c r="G41" s="465" t="s">
        <v>116</v>
      </c>
      <c r="H41" s="466"/>
      <c r="I41" s="465" t="s">
        <v>77</v>
      </c>
      <c r="J41" s="466"/>
      <c r="K41" s="463"/>
    </row>
    <row r="42" spans="1:16" x14ac:dyDescent="0.35">
      <c r="A42" s="489"/>
      <c r="B42" s="503"/>
      <c r="C42" s="482"/>
      <c r="D42" s="482"/>
      <c r="E42" s="482"/>
      <c r="F42" s="482"/>
      <c r="G42" s="54" t="s">
        <v>78</v>
      </c>
      <c r="H42" s="55" t="s">
        <v>79</v>
      </c>
      <c r="I42" s="55" t="s">
        <v>79</v>
      </c>
      <c r="J42" s="55" t="s">
        <v>78</v>
      </c>
      <c r="K42" s="464"/>
    </row>
    <row r="43" spans="1:16" x14ac:dyDescent="0.35">
      <c r="A43" s="60">
        <v>1</v>
      </c>
      <c r="B43" s="72"/>
      <c r="C43" s="307"/>
      <c r="D43" s="307"/>
      <c r="E43" s="307"/>
      <c r="F43" s="108"/>
      <c r="G43" s="75"/>
      <c r="H43" s="75"/>
      <c r="I43" s="75"/>
      <c r="J43" s="75"/>
      <c r="K43" s="136">
        <f>SUM(G43:J43)</f>
        <v>0</v>
      </c>
    </row>
    <row r="44" spans="1:16" x14ac:dyDescent="0.35">
      <c r="A44" s="51">
        <v>2</v>
      </c>
      <c r="B44" s="73"/>
      <c r="C44" s="326"/>
      <c r="D44" s="326"/>
      <c r="E44" s="326"/>
      <c r="F44" s="109"/>
      <c r="G44" s="76"/>
      <c r="H44" s="76"/>
      <c r="I44" s="76"/>
      <c r="J44" s="76"/>
      <c r="K44" s="136">
        <f>SUM(G44:J44)</f>
        <v>0</v>
      </c>
    </row>
    <row r="45" spans="1:16" ht="15" customHeight="1" x14ac:dyDescent="0.35">
      <c r="A45" s="51">
        <v>3</v>
      </c>
      <c r="B45" s="73"/>
      <c r="C45" s="361"/>
      <c r="D45" s="362"/>
      <c r="E45" s="505"/>
      <c r="F45" s="109"/>
      <c r="G45" s="76"/>
      <c r="H45" s="76"/>
      <c r="I45" s="76"/>
      <c r="J45" s="76"/>
      <c r="K45" s="136">
        <f t="shared" ref="K45:K46" si="5">SUM(G45:J45)</f>
        <v>0</v>
      </c>
    </row>
    <row r="46" spans="1:16" x14ac:dyDescent="0.35">
      <c r="A46" s="51">
        <v>4</v>
      </c>
      <c r="B46" s="73"/>
      <c r="C46" s="361"/>
      <c r="D46" s="362"/>
      <c r="E46" s="505"/>
      <c r="F46" s="109"/>
      <c r="G46" s="76"/>
      <c r="H46" s="76"/>
      <c r="I46" s="76"/>
      <c r="J46" s="76"/>
      <c r="K46" s="136">
        <f t="shared" si="5"/>
        <v>0</v>
      </c>
    </row>
    <row r="47" spans="1:16" x14ac:dyDescent="0.35">
      <c r="A47" s="51">
        <v>5</v>
      </c>
      <c r="B47" s="73"/>
      <c r="C47" s="326"/>
      <c r="D47" s="326"/>
      <c r="E47" s="326"/>
      <c r="F47" s="109"/>
      <c r="G47" s="76"/>
      <c r="H47" s="76"/>
      <c r="I47" s="76"/>
      <c r="J47" s="76"/>
      <c r="K47" s="136">
        <f>SUM(G47:J47)</f>
        <v>0</v>
      </c>
    </row>
    <row r="48" spans="1:16" x14ac:dyDescent="0.35">
      <c r="A48" s="51">
        <v>6</v>
      </c>
      <c r="B48" s="73"/>
      <c r="C48" s="326"/>
      <c r="D48" s="326"/>
      <c r="E48" s="326"/>
      <c r="F48" s="109"/>
      <c r="G48" s="76"/>
      <c r="H48" s="76"/>
      <c r="I48" s="76"/>
      <c r="J48" s="76"/>
      <c r="K48" s="136">
        <f t="shared" ref="K48:K49" si="6">SUM(G48:J48)</f>
        <v>0</v>
      </c>
    </row>
    <row r="49" spans="1:11" x14ac:dyDescent="0.35">
      <c r="A49" s="51">
        <v>7</v>
      </c>
      <c r="B49" s="74"/>
      <c r="C49" s="475"/>
      <c r="D49" s="475"/>
      <c r="E49" s="475"/>
      <c r="F49" s="126"/>
      <c r="G49" s="77"/>
      <c r="H49" s="77"/>
      <c r="I49" s="77"/>
      <c r="J49" s="77"/>
      <c r="K49" s="136">
        <f t="shared" si="6"/>
        <v>0</v>
      </c>
    </row>
    <row r="50" spans="1:11" ht="15.75" customHeight="1" thickBot="1" x14ac:dyDescent="0.4">
      <c r="A50" s="516" t="s">
        <v>117</v>
      </c>
      <c r="B50" s="517"/>
      <c r="C50" s="517"/>
      <c r="D50" s="517"/>
      <c r="E50" s="517"/>
      <c r="F50" s="518"/>
      <c r="G50" s="135">
        <f>SUM(G43:G49)</f>
        <v>0</v>
      </c>
      <c r="H50" s="135">
        <f t="shared" ref="H50:K50" si="7">SUM(H43:H49)</f>
        <v>0</v>
      </c>
      <c r="I50" s="135">
        <f t="shared" si="7"/>
        <v>0</v>
      </c>
      <c r="J50" s="135">
        <f>SUM(J43:J49)</f>
        <v>0</v>
      </c>
      <c r="K50" s="135">
        <f t="shared" si="7"/>
        <v>0</v>
      </c>
    </row>
    <row r="51" spans="1:11" s="14" customFormat="1" ht="15" thickTop="1" thickBot="1" x14ac:dyDescent="0.35"/>
    <row r="52" spans="1:11" s="23" customFormat="1" ht="14.5" thickTop="1" x14ac:dyDescent="0.35">
      <c r="A52" s="534" t="s">
        <v>123</v>
      </c>
      <c r="B52" s="535"/>
      <c r="C52" s="535"/>
      <c r="D52" s="535"/>
      <c r="E52" s="535"/>
      <c r="F52" s="535"/>
      <c r="G52" s="535"/>
      <c r="H52" s="535"/>
      <c r="I52" s="535"/>
      <c r="J52" s="535"/>
      <c r="K52" s="536"/>
    </row>
    <row r="53" spans="1:11" ht="15" customHeight="1" x14ac:dyDescent="0.35">
      <c r="A53" s="528" t="s">
        <v>55</v>
      </c>
      <c r="B53" s="537" t="s">
        <v>113</v>
      </c>
      <c r="C53" s="538" t="s">
        <v>114</v>
      </c>
      <c r="D53" s="538"/>
      <c r="E53" s="538"/>
      <c r="F53" s="480" t="s">
        <v>69</v>
      </c>
      <c r="G53" s="531" t="s">
        <v>115</v>
      </c>
      <c r="H53" s="532"/>
      <c r="I53" s="532"/>
      <c r="J53" s="533"/>
      <c r="K53" s="541" t="s">
        <v>80</v>
      </c>
    </row>
    <row r="54" spans="1:11" x14ac:dyDescent="0.35">
      <c r="A54" s="528"/>
      <c r="B54" s="537"/>
      <c r="C54" s="539"/>
      <c r="D54" s="539"/>
      <c r="E54" s="539"/>
      <c r="F54" s="481"/>
      <c r="G54" s="465" t="s">
        <v>116</v>
      </c>
      <c r="H54" s="466"/>
      <c r="I54" s="465" t="s">
        <v>77</v>
      </c>
      <c r="J54" s="466"/>
      <c r="K54" s="542"/>
    </row>
    <row r="55" spans="1:11" x14ac:dyDescent="0.35">
      <c r="A55" s="528"/>
      <c r="B55" s="537"/>
      <c r="C55" s="540"/>
      <c r="D55" s="540"/>
      <c r="E55" s="540"/>
      <c r="F55" s="482"/>
      <c r="G55" s="54" t="s">
        <v>78</v>
      </c>
      <c r="H55" s="55" t="s">
        <v>79</v>
      </c>
      <c r="I55" s="55" t="s">
        <v>79</v>
      </c>
      <c r="J55" s="55" t="s">
        <v>78</v>
      </c>
      <c r="K55" s="543"/>
    </row>
    <row r="56" spans="1:11" x14ac:dyDescent="0.35">
      <c r="A56" s="84">
        <v>1</v>
      </c>
      <c r="B56" s="87"/>
      <c r="C56" s="510"/>
      <c r="D56" s="510"/>
      <c r="E56" s="510"/>
      <c r="F56" s="108"/>
      <c r="G56" s="90"/>
      <c r="H56" s="90"/>
      <c r="I56" s="90"/>
      <c r="J56" s="90"/>
      <c r="K56" s="139">
        <f>SUM(G56:J56)</f>
        <v>0</v>
      </c>
    </row>
    <row r="57" spans="1:11" x14ac:dyDescent="0.35">
      <c r="A57" s="85">
        <v>2</v>
      </c>
      <c r="B57" s="88"/>
      <c r="C57" s="511"/>
      <c r="D57" s="511"/>
      <c r="E57" s="511"/>
      <c r="F57" s="109"/>
      <c r="G57" s="91"/>
      <c r="H57" s="91"/>
      <c r="I57" s="91"/>
      <c r="J57" s="91"/>
      <c r="K57" s="139">
        <f t="shared" ref="K57:K60" si="8">SUM(G57:J57)</f>
        <v>0</v>
      </c>
    </row>
    <row r="58" spans="1:11" x14ac:dyDescent="0.35">
      <c r="A58" s="85">
        <v>3</v>
      </c>
      <c r="B58" s="88"/>
      <c r="C58" s="511"/>
      <c r="D58" s="511"/>
      <c r="E58" s="511"/>
      <c r="F58" s="109"/>
      <c r="G58" s="91"/>
      <c r="H58" s="91"/>
      <c r="I58" s="91"/>
      <c r="J58" s="91"/>
      <c r="K58" s="139">
        <f t="shared" si="8"/>
        <v>0</v>
      </c>
    </row>
    <row r="59" spans="1:11" x14ac:dyDescent="0.35">
      <c r="A59" s="85">
        <v>4</v>
      </c>
      <c r="B59" s="88"/>
      <c r="C59" s="511"/>
      <c r="D59" s="511"/>
      <c r="E59" s="511"/>
      <c r="F59" s="109"/>
      <c r="G59" s="91"/>
      <c r="H59" s="91"/>
      <c r="I59" s="91"/>
      <c r="J59" s="91"/>
      <c r="K59" s="139">
        <f t="shared" si="8"/>
        <v>0</v>
      </c>
    </row>
    <row r="60" spans="1:11" x14ac:dyDescent="0.35">
      <c r="A60" s="86">
        <v>5</v>
      </c>
      <c r="B60" s="89"/>
      <c r="C60" s="512"/>
      <c r="D60" s="512"/>
      <c r="E60" s="512"/>
      <c r="F60" s="126"/>
      <c r="G60" s="92"/>
      <c r="H60" s="92"/>
      <c r="I60" s="92"/>
      <c r="J60" s="92"/>
      <c r="K60" s="139">
        <f t="shared" si="8"/>
        <v>0</v>
      </c>
    </row>
    <row r="61" spans="1:11" s="23" customFormat="1" ht="15.75" customHeight="1" thickBot="1" x14ac:dyDescent="0.4">
      <c r="A61" s="513" t="s">
        <v>117</v>
      </c>
      <c r="B61" s="514"/>
      <c r="C61" s="514"/>
      <c r="D61" s="514"/>
      <c r="E61" s="514"/>
      <c r="F61" s="515"/>
      <c r="G61" s="138">
        <f>SUM(G56:G60)</f>
        <v>0</v>
      </c>
      <c r="H61" s="138">
        <f t="shared" ref="H61:K61" si="9">SUM(H56:H60)</f>
        <v>0</v>
      </c>
      <c r="I61" s="138">
        <f t="shared" si="9"/>
        <v>0</v>
      </c>
      <c r="J61" s="138">
        <f t="shared" si="9"/>
        <v>0</v>
      </c>
      <c r="K61" s="138">
        <f t="shared" si="9"/>
        <v>0</v>
      </c>
    </row>
    <row r="62" spans="1:11" s="14" customFormat="1" ht="15" thickTop="1" thickBot="1" x14ac:dyDescent="0.35"/>
    <row r="63" spans="1:11" ht="14.5" thickTop="1" x14ac:dyDescent="0.35">
      <c r="A63" s="476" t="s">
        <v>124</v>
      </c>
      <c r="B63" s="477"/>
      <c r="C63" s="477"/>
      <c r="D63" s="477"/>
      <c r="E63" s="477"/>
      <c r="F63" s="477"/>
      <c r="G63" s="477"/>
      <c r="H63" s="477"/>
      <c r="I63" s="477"/>
      <c r="J63" s="477"/>
      <c r="K63" s="478"/>
    </row>
    <row r="64" spans="1:11" x14ac:dyDescent="0.35">
      <c r="A64" s="479" t="s">
        <v>55</v>
      </c>
      <c r="B64" s="503" t="s">
        <v>113</v>
      </c>
      <c r="C64" s="501" t="s">
        <v>114</v>
      </c>
      <c r="D64" s="506"/>
      <c r="E64" s="507"/>
      <c r="F64" s="480" t="s">
        <v>69</v>
      </c>
      <c r="G64" s="467" t="s">
        <v>115</v>
      </c>
      <c r="H64" s="468"/>
      <c r="I64" s="468"/>
      <c r="J64" s="469"/>
      <c r="K64" s="462" t="s">
        <v>80</v>
      </c>
    </row>
    <row r="65" spans="1:11" x14ac:dyDescent="0.35">
      <c r="A65" s="479"/>
      <c r="B65" s="503"/>
      <c r="C65" s="502"/>
      <c r="D65" s="435"/>
      <c r="E65" s="508"/>
      <c r="F65" s="481"/>
      <c r="G65" s="465" t="s">
        <v>116</v>
      </c>
      <c r="H65" s="466"/>
      <c r="I65" s="465" t="s">
        <v>77</v>
      </c>
      <c r="J65" s="466"/>
      <c r="K65" s="463"/>
    </row>
    <row r="66" spans="1:11" x14ac:dyDescent="0.35">
      <c r="A66" s="479"/>
      <c r="B66" s="503"/>
      <c r="C66" s="392"/>
      <c r="D66" s="393"/>
      <c r="E66" s="509"/>
      <c r="F66" s="482"/>
      <c r="G66" s="54" t="s">
        <v>78</v>
      </c>
      <c r="H66" s="55" t="s">
        <v>79</v>
      </c>
      <c r="I66" s="55" t="s">
        <v>79</v>
      </c>
      <c r="J66" s="55" t="s">
        <v>78</v>
      </c>
      <c r="K66" s="464"/>
    </row>
    <row r="67" spans="1:11" x14ac:dyDescent="0.35">
      <c r="A67" s="60">
        <v>1</v>
      </c>
      <c r="B67" s="72"/>
      <c r="C67" s="307"/>
      <c r="D67" s="307"/>
      <c r="E67" s="307"/>
      <c r="F67" s="108"/>
      <c r="G67" s="75"/>
      <c r="H67" s="75"/>
      <c r="I67" s="75"/>
      <c r="J67" s="75"/>
      <c r="K67" s="136">
        <f t="shared" ref="K67:K78" si="10">SUM(G67:J67)</f>
        <v>0</v>
      </c>
    </row>
    <row r="68" spans="1:11" x14ac:dyDescent="0.35">
      <c r="A68" s="60">
        <v>2</v>
      </c>
      <c r="B68" s="73"/>
      <c r="C68" s="326"/>
      <c r="D68" s="326"/>
      <c r="E68" s="326"/>
      <c r="F68" s="108"/>
      <c r="G68" s="76"/>
      <c r="H68" s="76"/>
      <c r="I68" s="76"/>
      <c r="J68" s="76"/>
      <c r="K68" s="136">
        <f t="shared" si="10"/>
        <v>0</v>
      </c>
    </row>
    <row r="69" spans="1:11" x14ac:dyDescent="0.35">
      <c r="A69" s="60">
        <v>3</v>
      </c>
      <c r="B69" s="73"/>
      <c r="C69" s="326"/>
      <c r="D69" s="326"/>
      <c r="E69" s="326"/>
      <c r="F69" s="108"/>
      <c r="G69" s="76"/>
      <c r="H69" s="76"/>
      <c r="I69" s="76"/>
      <c r="J69" s="76"/>
      <c r="K69" s="136">
        <f t="shared" si="10"/>
        <v>0</v>
      </c>
    </row>
    <row r="70" spans="1:11" x14ac:dyDescent="0.35">
      <c r="A70" s="60">
        <v>4</v>
      </c>
      <c r="B70" s="73"/>
      <c r="C70" s="326"/>
      <c r="D70" s="326"/>
      <c r="E70" s="326"/>
      <c r="F70" s="108"/>
      <c r="G70" s="76"/>
      <c r="H70" s="76"/>
      <c r="I70" s="76"/>
      <c r="J70" s="76"/>
      <c r="K70" s="136">
        <f t="shared" ref="K70" si="11">SUM(G70:J70)</f>
        <v>0</v>
      </c>
    </row>
    <row r="71" spans="1:11" x14ac:dyDescent="0.35">
      <c r="A71" s="60">
        <v>5</v>
      </c>
      <c r="B71" s="73"/>
      <c r="C71" s="326"/>
      <c r="D71" s="326"/>
      <c r="E71" s="326"/>
      <c r="F71" s="108"/>
      <c r="G71" s="76"/>
      <c r="H71" s="76"/>
      <c r="I71" s="76"/>
      <c r="J71" s="76"/>
      <c r="K71" s="136">
        <f>SUM(G71:J71)</f>
        <v>0</v>
      </c>
    </row>
    <row r="72" spans="1:11" x14ac:dyDescent="0.35">
      <c r="A72" s="60">
        <v>6</v>
      </c>
      <c r="B72" s="73"/>
      <c r="C72" s="326"/>
      <c r="D72" s="326"/>
      <c r="E72" s="326"/>
      <c r="F72" s="108"/>
      <c r="G72" s="76"/>
      <c r="H72" s="76"/>
      <c r="I72" s="76"/>
      <c r="J72" s="76"/>
      <c r="K72" s="136">
        <f t="shared" si="10"/>
        <v>0</v>
      </c>
    </row>
    <row r="73" spans="1:11" x14ac:dyDescent="0.35">
      <c r="A73" s="60">
        <v>7</v>
      </c>
      <c r="B73" s="73"/>
      <c r="C73" s="326"/>
      <c r="D73" s="326"/>
      <c r="E73" s="326"/>
      <c r="F73" s="108"/>
      <c r="G73" s="76"/>
      <c r="H73" s="76"/>
      <c r="I73" s="76"/>
      <c r="J73" s="76"/>
      <c r="K73" s="136">
        <f t="shared" si="10"/>
        <v>0</v>
      </c>
    </row>
    <row r="74" spans="1:11" x14ac:dyDescent="0.35">
      <c r="A74" s="60">
        <v>8</v>
      </c>
      <c r="B74" s="73"/>
      <c r="C74" s="326"/>
      <c r="D74" s="326"/>
      <c r="E74" s="326"/>
      <c r="F74" s="108"/>
      <c r="G74" s="76"/>
      <c r="H74" s="76"/>
      <c r="I74" s="76"/>
      <c r="J74" s="76"/>
      <c r="K74" s="136">
        <f t="shared" si="10"/>
        <v>0</v>
      </c>
    </row>
    <row r="75" spans="1:11" x14ac:dyDescent="0.35">
      <c r="A75" s="60">
        <v>9</v>
      </c>
      <c r="B75" s="73"/>
      <c r="C75" s="326"/>
      <c r="D75" s="326"/>
      <c r="E75" s="326"/>
      <c r="F75" s="108"/>
      <c r="G75" s="76"/>
      <c r="H75" s="76"/>
      <c r="I75" s="76"/>
      <c r="J75" s="76"/>
      <c r="K75" s="136">
        <f t="shared" si="10"/>
        <v>0</v>
      </c>
    </row>
    <row r="76" spans="1:11" x14ac:dyDescent="0.35">
      <c r="A76" s="60">
        <v>10</v>
      </c>
      <c r="B76" s="73"/>
      <c r="C76" s="326"/>
      <c r="D76" s="326"/>
      <c r="E76" s="326"/>
      <c r="F76" s="108"/>
      <c r="G76" s="76"/>
      <c r="H76" s="76"/>
      <c r="I76" s="76"/>
      <c r="J76" s="76"/>
      <c r="K76" s="136">
        <f t="shared" si="10"/>
        <v>0</v>
      </c>
    </row>
    <row r="77" spans="1:11" x14ac:dyDescent="0.35">
      <c r="A77" s="60">
        <v>11</v>
      </c>
      <c r="B77" s="73"/>
      <c r="C77" s="326"/>
      <c r="D77" s="326"/>
      <c r="E77" s="326"/>
      <c r="F77" s="108"/>
      <c r="G77" s="76"/>
      <c r="H77" s="76"/>
      <c r="I77" s="76"/>
      <c r="J77" s="76"/>
      <c r="K77" s="136">
        <f t="shared" si="10"/>
        <v>0</v>
      </c>
    </row>
    <row r="78" spans="1:11" x14ac:dyDescent="0.35">
      <c r="A78" s="60">
        <v>12</v>
      </c>
      <c r="B78" s="74"/>
      <c r="C78" s="475"/>
      <c r="D78" s="475"/>
      <c r="E78" s="475"/>
      <c r="F78" s="108"/>
      <c r="G78" s="76"/>
      <c r="H78" s="76"/>
      <c r="I78" s="76"/>
      <c r="J78" s="76"/>
      <c r="K78" s="136">
        <f t="shared" si="10"/>
        <v>0</v>
      </c>
    </row>
    <row r="79" spans="1:11" s="23" customFormat="1" ht="15.75" customHeight="1" thickBot="1" x14ac:dyDescent="0.4">
      <c r="A79" s="516" t="s">
        <v>117</v>
      </c>
      <c r="B79" s="517"/>
      <c r="C79" s="517"/>
      <c r="D79" s="517"/>
      <c r="E79" s="517"/>
      <c r="F79" s="518"/>
      <c r="G79" s="135">
        <f>SUM(G67:G78)</f>
        <v>0</v>
      </c>
      <c r="H79" s="135">
        <f t="shared" ref="H79:K79" si="12">SUM(H67:H78)</f>
        <v>0</v>
      </c>
      <c r="I79" s="135">
        <f t="shared" si="12"/>
        <v>0</v>
      </c>
      <c r="J79" s="135">
        <f t="shared" si="12"/>
        <v>0</v>
      </c>
      <c r="K79" s="135">
        <f t="shared" si="12"/>
        <v>0</v>
      </c>
    </row>
    <row r="80" spans="1:11" s="14" customFormat="1" ht="15" thickTop="1" thickBot="1" x14ac:dyDescent="0.35"/>
    <row r="81" spans="1:13" ht="15" customHeight="1" thickTop="1" x14ac:dyDescent="0.35">
      <c r="A81" s="476" t="s">
        <v>125</v>
      </c>
      <c r="B81" s="477"/>
      <c r="C81" s="477"/>
      <c r="D81" s="477"/>
      <c r="E81" s="477"/>
      <c r="F81" s="477"/>
      <c r="G81" s="477"/>
      <c r="H81" s="477"/>
      <c r="I81" s="477"/>
      <c r="J81" s="477"/>
      <c r="K81" s="478"/>
    </row>
    <row r="82" spans="1:13" x14ac:dyDescent="0.35">
      <c r="A82" s="489" t="s">
        <v>55</v>
      </c>
      <c r="B82" s="480" t="s">
        <v>126</v>
      </c>
      <c r="C82" s="480" t="s">
        <v>114</v>
      </c>
      <c r="D82" s="480"/>
      <c r="E82" s="480"/>
      <c r="F82" s="480" t="s">
        <v>69</v>
      </c>
      <c r="G82" s="467" t="s">
        <v>115</v>
      </c>
      <c r="H82" s="468"/>
      <c r="I82" s="468"/>
      <c r="J82" s="469"/>
      <c r="K82" s="462" t="s">
        <v>80</v>
      </c>
    </row>
    <row r="83" spans="1:13" x14ac:dyDescent="0.35">
      <c r="A83" s="489"/>
      <c r="B83" s="481"/>
      <c r="C83" s="481"/>
      <c r="D83" s="481"/>
      <c r="E83" s="481"/>
      <c r="F83" s="481"/>
      <c r="G83" s="465" t="s">
        <v>116</v>
      </c>
      <c r="H83" s="466"/>
      <c r="I83" s="465" t="s">
        <v>77</v>
      </c>
      <c r="J83" s="466"/>
      <c r="K83" s="463"/>
    </row>
    <row r="84" spans="1:13" x14ac:dyDescent="0.35">
      <c r="A84" s="489"/>
      <c r="B84" s="482"/>
      <c r="C84" s="482"/>
      <c r="D84" s="482"/>
      <c r="E84" s="482"/>
      <c r="F84" s="482"/>
      <c r="G84" s="54" t="s">
        <v>78</v>
      </c>
      <c r="H84" s="55" t="s">
        <v>79</v>
      </c>
      <c r="I84" s="55" t="s">
        <v>79</v>
      </c>
      <c r="J84" s="55" t="s">
        <v>78</v>
      </c>
      <c r="K84" s="464"/>
    </row>
    <row r="85" spans="1:13" x14ac:dyDescent="0.35">
      <c r="A85" s="60">
        <v>1</v>
      </c>
      <c r="B85" s="72"/>
      <c r="C85" s="307"/>
      <c r="D85" s="307"/>
      <c r="E85" s="307"/>
      <c r="F85" s="108"/>
      <c r="G85" s="75"/>
      <c r="H85" s="75"/>
      <c r="I85" s="75"/>
      <c r="J85" s="75"/>
      <c r="K85" s="136">
        <f>SUM(G85:J85)</f>
        <v>0</v>
      </c>
    </row>
    <row r="86" spans="1:13" x14ac:dyDescent="0.35">
      <c r="A86" s="51">
        <v>2</v>
      </c>
      <c r="B86" s="73"/>
      <c r="C86" s="326"/>
      <c r="D86" s="326"/>
      <c r="E86" s="326"/>
      <c r="F86" s="109"/>
      <c r="G86" s="76"/>
      <c r="H86" s="76"/>
      <c r="I86" s="76"/>
      <c r="J86" s="76"/>
      <c r="K86" s="136">
        <f t="shared" ref="K86:K89" si="13">SUM(G86:J86)</f>
        <v>0</v>
      </c>
    </row>
    <row r="87" spans="1:13" x14ac:dyDescent="0.35">
      <c r="A87" s="51">
        <v>3</v>
      </c>
      <c r="B87" s="73"/>
      <c r="C87" s="326"/>
      <c r="D87" s="326"/>
      <c r="E87" s="326"/>
      <c r="F87" s="109"/>
      <c r="G87" s="76"/>
      <c r="H87" s="76"/>
      <c r="I87" s="76"/>
      <c r="J87" s="76"/>
      <c r="K87" s="136">
        <f t="shared" si="13"/>
        <v>0</v>
      </c>
    </row>
    <row r="88" spans="1:13" x14ac:dyDescent="0.35">
      <c r="A88" s="51">
        <v>4</v>
      </c>
      <c r="B88" s="73"/>
      <c r="C88" s="326"/>
      <c r="D88" s="326"/>
      <c r="E88" s="326"/>
      <c r="F88" s="109"/>
      <c r="G88" s="76"/>
      <c r="H88" s="76"/>
      <c r="I88" s="76"/>
      <c r="J88" s="76"/>
      <c r="K88" s="136">
        <f t="shared" si="13"/>
        <v>0</v>
      </c>
    </row>
    <row r="89" spans="1:13" x14ac:dyDescent="0.35">
      <c r="A89" s="61">
        <v>5</v>
      </c>
      <c r="B89" s="74"/>
      <c r="C89" s="475"/>
      <c r="D89" s="475"/>
      <c r="E89" s="475"/>
      <c r="F89" s="126"/>
      <c r="G89" s="77"/>
      <c r="H89" s="77"/>
      <c r="I89" s="77"/>
      <c r="J89" s="77"/>
      <c r="K89" s="136">
        <f t="shared" si="13"/>
        <v>0</v>
      </c>
    </row>
    <row r="90" spans="1:13" ht="14.5" thickBot="1" x14ac:dyDescent="0.4">
      <c r="A90" s="516" t="s">
        <v>117</v>
      </c>
      <c r="B90" s="517"/>
      <c r="C90" s="517"/>
      <c r="D90" s="517"/>
      <c r="E90" s="517"/>
      <c r="F90" s="518"/>
      <c r="G90" s="135">
        <f>SUM(G85:G89)</f>
        <v>0</v>
      </c>
      <c r="H90" s="135">
        <f t="shared" ref="H90:K90" si="14">SUM(H85:H89)</f>
        <v>0</v>
      </c>
      <c r="I90" s="135">
        <f t="shared" si="14"/>
        <v>0</v>
      </c>
      <c r="J90" s="135">
        <f t="shared" si="14"/>
        <v>0</v>
      </c>
      <c r="K90" s="135">
        <f t="shared" si="14"/>
        <v>0</v>
      </c>
    </row>
    <row r="91" spans="1:13" s="14" customFormat="1" ht="15" thickTop="1" thickBot="1" x14ac:dyDescent="0.35"/>
    <row r="92" spans="1:13" ht="14.5" thickTop="1" x14ac:dyDescent="0.35">
      <c r="A92" s="525" t="s">
        <v>127</v>
      </c>
      <c r="B92" s="526"/>
      <c r="C92" s="526"/>
      <c r="D92" s="526"/>
      <c r="E92" s="526"/>
      <c r="F92" s="526"/>
      <c r="G92" s="526"/>
      <c r="H92" s="526"/>
      <c r="I92" s="526"/>
      <c r="J92" s="526"/>
      <c r="K92" s="527"/>
      <c r="M92" s="57"/>
    </row>
    <row r="93" spans="1:13" x14ac:dyDescent="0.35">
      <c r="A93" s="489" t="s">
        <v>55</v>
      </c>
      <c r="B93" s="503" t="s">
        <v>113</v>
      </c>
      <c r="C93" s="480" t="s">
        <v>114</v>
      </c>
      <c r="D93" s="480"/>
      <c r="E93" s="480"/>
      <c r="F93" s="480" t="s">
        <v>69</v>
      </c>
      <c r="G93" s="467" t="s">
        <v>115</v>
      </c>
      <c r="H93" s="468"/>
      <c r="I93" s="468"/>
      <c r="J93" s="469"/>
      <c r="K93" s="462" t="s">
        <v>80</v>
      </c>
    </row>
    <row r="94" spans="1:13" x14ac:dyDescent="0.35">
      <c r="A94" s="489"/>
      <c r="B94" s="503"/>
      <c r="C94" s="481"/>
      <c r="D94" s="481"/>
      <c r="E94" s="481"/>
      <c r="F94" s="481"/>
      <c r="G94" s="465" t="s">
        <v>116</v>
      </c>
      <c r="H94" s="466"/>
      <c r="I94" s="465" t="s">
        <v>77</v>
      </c>
      <c r="J94" s="466"/>
      <c r="K94" s="463"/>
    </row>
    <row r="95" spans="1:13" x14ac:dyDescent="0.35">
      <c r="A95" s="489"/>
      <c r="B95" s="503"/>
      <c r="C95" s="482"/>
      <c r="D95" s="482"/>
      <c r="E95" s="482"/>
      <c r="F95" s="482"/>
      <c r="G95" s="54" t="s">
        <v>78</v>
      </c>
      <c r="H95" s="55" t="s">
        <v>79</v>
      </c>
      <c r="I95" s="55" t="s">
        <v>79</v>
      </c>
      <c r="J95" s="55" t="s">
        <v>78</v>
      </c>
      <c r="K95" s="464"/>
    </row>
    <row r="96" spans="1:13" x14ac:dyDescent="0.35">
      <c r="A96" s="60">
        <v>1</v>
      </c>
      <c r="B96" s="72"/>
      <c r="C96" s="307"/>
      <c r="D96" s="307"/>
      <c r="E96" s="307"/>
      <c r="F96" s="108"/>
      <c r="G96" s="75"/>
      <c r="H96" s="75"/>
      <c r="I96" s="75"/>
      <c r="J96" s="75"/>
      <c r="K96" s="136">
        <f>SUM(G96:J96)</f>
        <v>0</v>
      </c>
    </row>
    <row r="97" spans="1:13" x14ac:dyDescent="0.35">
      <c r="A97" s="51">
        <v>2</v>
      </c>
      <c r="B97" s="73"/>
      <c r="C97" s="326"/>
      <c r="D97" s="326"/>
      <c r="E97" s="326"/>
      <c r="F97" s="109"/>
      <c r="G97" s="76"/>
      <c r="H97" s="76"/>
      <c r="I97" s="76"/>
      <c r="J97" s="76"/>
      <c r="K97" s="136">
        <f>SUM(G97:J97)</f>
        <v>0</v>
      </c>
    </row>
    <row r="98" spans="1:13" x14ac:dyDescent="0.35">
      <c r="A98" s="51">
        <v>3</v>
      </c>
      <c r="B98" s="73"/>
      <c r="C98" s="326"/>
      <c r="D98" s="326"/>
      <c r="E98" s="326"/>
      <c r="F98" s="109"/>
      <c r="G98" s="76"/>
      <c r="H98" s="76"/>
      <c r="I98" s="76"/>
      <c r="J98" s="76"/>
      <c r="K98" s="136">
        <f t="shared" ref="K98:K100" si="15">SUM(G98:J98)</f>
        <v>0</v>
      </c>
    </row>
    <row r="99" spans="1:13" x14ac:dyDescent="0.35">
      <c r="A99" s="51">
        <v>4</v>
      </c>
      <c r="B99" s="73"/>
      <c r="C99" s="326"/>
      <c r="D99" s="326"/>
      <c r="E99" s="326"/>
      <c r="F99" s="109"/>
      <c r="G99" s="76"/>
      <c r="H99" s="76"/>
      <c r="I99" s="76"/>
      <c r="J99" s="76"/>
      <c r="K99" s="136">
        <f t="shared" si="15"/>
        <v>0</v>
      </c>
    </row>
    <row r="100" spans="1:13" ht="14.5" thickBot="1" x14ac:dyDescent="0.4">
      <c r="A100" s="61">
        <v>5</v>
      </c>
      <c r="B100" s="74"/>
      <c r="C100" s="475"/>
      <c r="D100" s="475"/>
      <c r="E100" s="475"/>
      <c r="F100" s="126"/>
      <c r="G100" s="77"/>
      <c r="H100" s="77"/>
      <c r="I100" s="77"/>
      <c r="J100" s="77"/>
      <c r="K100" s="136">
        <f t="shared" si="15"/>
        <v>0</v>
      </c>
    </row>
    <row r="101" spans="1:13" ht="14.5" thickBot="1" x14ac:dyDescent="0.4">
      <c r="A101" s="516" t="s">
        <v>117</v>
      </c>
      <c r="B101" s="517"/>
      <c r="C101" s="517"/>
      <c r="D101" s="517"/>
      <c r="E101" s="517"/>
      <c r="F101" s="518"/>
      <c r="G101" s="135">
        <f>SUM(G96:G100)</f>
        <v>0</v>
      </c>
      <c r="H101" s="135">
        <f t="shared" ref="H101:K101" si="16">SUM(H96:H100)</f>
        <v>0</v>
      </c>
      <c r="I101" s="135">
        <f t="shared" si="16"/>
        <v>0</v>
      </c>
      <c r="J101" s="135">
        <f t="shared" si="16"/>
        <v>0</v>
      </c>
      <c r="K101" s="135">
        <f t="shared" si="16"/>
        <v>0</v>
      </c>
      <c r="M101" s="63" t="str">
        <f>IF(([1]Formulario!B5="MODALIDAD MAYOR CUANTÍA")*AND('[1]Tablas Presupuesto Detallado'!F96&gt;0.05),"El presupuesto para el rubro de papelería no puede exceder del 5% ","")</f>
        <v/>
      </c>
    </row>
    <row r="102" spans="1:13" s="14" customFormat="1" ht="15" thickTop="1" thickBot="1" x14ac:dyDescent="0.35"/>
    <row r="103" spans="1:13" ht="15.75" customHeight="1" thickTop="1" x14ac:dyDescent="0.35">
      <c r="A103" s="490" t="s">
        <v>128</v>
      </c>
      <c r="B103" s="491"/>
      <c r="C103" s="491"/>
      <c r="D103" s="491"/>
      <c r="E103" s="491"/>
      <c r="F103" s="491"/>
      <c r="G103" s="491"/>
      <c r="H103" s="491"/>
      <c r="I103" s="491"/>
      <c r="J103" s="491"/>
      <c r="K103" s="492"/>
    </row>
    <row r="104" spans="1:13" x14ac:dyDescent="0.35">
      <c r="A104" s="489" t="s">
        <v>55</v>
      </c>
      <c r="B104" s="503" t="s">
        <v>113</v>
      </c>
      <c r="C104" s="480" t="s">
        <v>114</v>
      </c>
      <c r="D104" s="480"/>
      <c r="E104" s="480"/>
      <c r="F104" s="480" t="s">
        <v>69</v>
      </c>
      <c r="G104" s="467" t="s">
        <v>115</v>
      </c>
      <c r="H104" s="468"/>
      <c r="I104" s="468"/>
      <c r="J104" s="469"/>
      <c r="K104" s="462" t="s">
        <v>80</v>
      </c>
    </row>
    <row r="105" spans="1:13" x14ac:dyDescent="0.35">
      <c r="A105" s="489"/>
      <c r="B105" s="503"/>
      <c r="C105" s="481"/>
      <c r="D105" s="481"/>
      <c r="E105" s="481"/>
      <c r="F105" s="481"/>
      <c r="G105" s="465" t="s">
        <v>116</v>
      </c>
      <c r="H105" s="466"/>
      <c r="I105" s="465" t="s">
        <v>77</v>
      </c>
      <c r="J105" s="466"/>
      <c r="K105" s="463"/>
    </row>
    <row r="106" spans="1:13" x14ac:dyDescent="0.35">
      <c r="A106" s="489"/>
      <c r="B106" s="503"/>
      <c r="C106" s="482"/>
      <c r="D106" s="482"/>
      <c r="E106" s="482"/>
      <c r="F106" s="482"/>
      <c r="G106" s="54" t="s">
        <v>78</v>
      </c>
      <c r="H106" s="55" t="s">
        <v>79</v>
      </c>
      <c r="I106" s="55" t="s">
        <v>79</v>
      </c>
      <c r="J106" s="55" t="s">
        <v>78</v>
      </c>
      <c r="K106" s="464"/>
    </row>
    <row r="107" spans="1:13" x14ac:dyDescent="0.35">
      <c r="A107" s="60">
        <v>1</v>
      </c>
      <c r="B107" s="72"/>
      <c r="C107" s="307"/>
      <c r="D107" s="307"/>
      <c r="E107" s="307"/>
      <c r="F107" s="108"/>
      <c r="G107" s="75"/>
      <c r="H107" s="75"/>
      <c r="I107" s="75"/>
      <c r="J107" s="75"/>
      <c r="K107" s="136">
        <f>SUM(G107:J107)</f>
        <v>0</v>
      </c>
    </row>
    <row r="108" spans="1:13" x14ac:dyDescent="0.35">
      <c r="A108" s="51">
        <v>2</v>
      </c>
      <c r="B108" s="73"/>
      <c r="C108" s="326"/>
      <c r="D108" s="326"/>
      <c r="E108" s="326"/>
      <c r="F108" s="109"/>
      <c r="G108" s="76"/>
      <c r="H108" s="76"/>
      <c r="I108" s="76"/>
      <c r="J108" s="76"/>
      <c r="K108" s="136">
        <f>SUM(G108:J108)</f>
        <v>0</v>
      </c>
    </row>
    <row r="109" spans="1:13" x14ac:dyDescent="0.35">
      <c r="A109" s="51">
        <v>3</v>
      </c>
      <c r="B109" s="73"/>
      <c r="C109" s="326"/>
      <c r="D109" s="326"/>
      <c r="E109" s="326"/>
      <c r="F109" s="109"/>
      <c r="G109" s="76"/>
      <c r="H109" s="76"/>
      <c r="I109" s="76"/>
      <c r="J109" s="76"/>
      <c r="K109" s="136">
        <f>SUM(G109:J109)</f>
        <v>0</v>
      </c>
    </row>
    <row r="110" spans="1:13" x14ac:dyDescent="0.35">
      <c r="A110" s="51">
        <v>4</v>
      </c>
      <c r="B110" s="73"/>
      <c r="C110" s="326"/>
      <c r="D110" s="326"/>
      <c r="E110" s="326"/>
      <c r="F110" s="109"/>
      <c r="G110" s="76"/>
      <c r="H110" s="76"/>
      <c r="I110" s="76"/>
      <c r="J110" s="76"/>
      <c r="K110" s="136">
        <f>SUM(G110:J110)</f>
        <v>0</v>
      </c>
    </row>
    <row r="111" spans="1:13" x14ac:dyDescent="0.35">
      <c r="A111" s="61">
        <v>5</v>
      </c>
      <c r="B111" s="74"/>
      <c r="C111" s="475"/>
      <c r="D111" s="475"/>
      <c r="E111" s="475"/>
      <c r="F111" s="126"/>
      <c r="G111" s="77"/>
      <c r="H111" s="77"/>
      <c r="I111" s="77"/>
      <c r="J111" s="77"/>
      <c r="K111" s="136">
        <f>SUM(G111:J111)</f>
        <v>0</v>
      </c>
    </row>
    <row r="112" spans="1:13" ht="14.5" thickBot="1" x14ac:dyDescent="0.4">
      <c r="A112" s="516" t="s">
        <v>117</v>
      </c>
      <c r="B112" s="517"/>
      <c r="C112" s="517"/>
      <c r="D112" s="517"/>
      <c r="E112" s="517"/>
      <c r="F112" s="518"/>
      <c r="G112" s="135">
        <f>SUM(G107:G111)</f>
        <v>0</v>
      </c>
      <c r="H112" s="135">
        <f>SUM(H107:H111)</f>
        <v>0</v>
      </c>
      <c r="I112" s="135">
        <f>SUM(I107:I111)</f>
        <v>0</v>
      </c>
      <c r="J112" s="135">
        <f>SUM(J107:J111)</f>
        <v>0</v>
      </c>
      <c r="K112" s="137">
        <f>SUM(K107:K111)</f>
        <v>0</v>
      </c>
    </row>
    <row r="113" spans="1:11" ht="15" thickTop="1" thickBot="1" x14ac:dyDescent="0.4"/>
    <row r="114" spans="1:11" ht="14.5" thickTop="1" x14ac:dyDescent="0.35">
      <c r="A114" s="476" t="s">
        <v>129</v>
      </c>
      <c r="B114" s="477"/>
      <c r="C114" s="477"/>
      <c r="D114" s="477"/>
      <c r="E114" s="477"/>
      <c r="F114" s="477"/>
      <c r="G114" s="477"/>
      <c r="H114" s="477"/>
      <c r="I114" s="477"/>
      <c r="J114" s="477"/>
      <c r="K114" s="478"/>
    </row>
    <row r="115" spans="1:11" x14ac:dyDescent="0.35">
      <c r="A115" s="479" t="s">
        <v>55</v>
      </c>
      <c r="B115" s="483" t="s">
        <v>113</v>
      </c>
      <c r="C115" s="483" t="s">
        <v>114</v>
      </c>
      <c r="D115" s="486"/>
      <c r="E115" s="470" t="s">
        <v>71</v>
      </c>
      <c r="F115" s="480" t="s">
        <v>69</v>
      </c>
      <c r="G115" s="467" t="s">
        <v>115</v>
      </c>
      <c r="H115" s="468"/>
      <c r="I115" s="468"/>
      <c r="J115" s="469"/>
      <c r="K115" s="462" t="s">
        <v>80</v>
      </c>
    </row>
    <row r="116" spans="1:11" ht="14.25" customHeight="1" x14ac:dyDescent="0.35">
      <c r="A116" s="479"/>
      <c r="B116" s="484"/>
      <c r="C116" s="484"/>
      <c r="D116" s="487"/>
      <c r="E116" s="471"/>
      <c r="F116" s="481"/>
      <c r="G116" s="465" t="s">
        <v>116</v>
      </c>
      <c r="H116" s="466"/>
      <c r="I116" s="465" t="s">
        <v>77</v>
      </c>
      <c r="J116" s="466"/>
      <c r="K116" s="463"/>
    </row>
    <row r="117" spans="1:11" ht="14.25" customHeight="1" x14ac:dyDescent="0.35">
      <c r="A117" s="479"/>
      <c r="B117" s="485"/>
      <c r="C117" s="485"/>
      <c r="D117" s="488"/>
      <c r="E117" s="472"/>
      <c r="F117" s="482"/>
      <c r="G117" s="54" t="s">
        <v>78</v>
      </c>
      <c r="H117" s="55" t="s">
        <v>79</v>
      </c>
      <c r="I117" s="55" t="s">
        <v>79</v>
      </c>
      <c r="J117" s="55" t="s">
        <v>78</v>
      </c>
      <c r="K117" s="464"/>
    </row>
    <row r="118" spans="1:11" ht="15" customHeight="1" x14ac:dyDescent="0.35">
      <c r="A118" s="145">
        <v>1</v>
      </c>
      <c r="B118" s="151"/>
      <c r="C118" s="473"/>
      <c r="D118" s="474"/>
      <c r="E118" s="154"/>
      <c r="F118" s="153"/>
      <c r="G118" s="93"/>
      <c r="H118" s="90"/>
      <c r="I118" s="90"/>
      <c r="J118" s="94"/>
      <c r="K118" s="136">
        <f>SUM(G118:J118)</f>
        <v>0</v>
      </c>
    </row>
    <row r="119" spans="1:11" ht="15" customHeight="1" x14ac:dyDescent="0.35">
      <c r="A119" s="86">
        <v>2</v>
      </c>
      <c r="B119" s="152"/>
      <c r="C119" s="460"/>
      <c r="D119" s="461"/>
      <c r="E119" s="155"/>
      <c r="F119" s="153"/>
      <c r="H119" s="91"/>
      <c r="I119" s="91"/>
      <c r="J119" s="94"/>
      <c r="K119" s="136">
        <f t="shared" ref="K119:K131" si="17">SUM(G119:J119)</f>
        <v>0</v>
      </c>
    </row>
    <row r="120" spans="1:11" ht="15" customHeight="1" x14ac:dyDescent="0.35">
      <c r="A120" s="86">
        <v>3</v>
      </c>
      <c r="B120" s="152"/>
      <c r="C120" s="460"/>
      <c r="D120" s="461"/>
      <c r="E120" s="155"/>
      <c r="F120" s="153"/>
      <c r="G120" s="93"/>
      <c r="H120" s="91"/>
      <c r="I120" s="91"/>
      <c r="J120" s="94"/>
      <c r="K120" s="136">
        <f t="shared" si="17"/>
        <v>0</v>
      </c>
    </row>
    <row r="121" spans="1:11" ht="15" customHeight="1" x14ac:dyDescent="0.35">
      <c r="A121" s="86">
        <v>4</v>
      </c>
      <c r="B121" s="152"/>
      <c r="C121" s="460"/>
      <c r="D121" s="461"/>
      <c r="E121" s="155"/>
      <c r="F121" s="153"/>
      <c r="G121" s="93"/>
      <c r="H121" s="91"/>
      <c r="I121" s="91"/>
      <c r="J121" s="94"/>
      <c r="K121" s="136">
        <f t="shared" si="17"/>
        <v>0</v>
      </c>
    </row>
    <row r="122" spans="1:11" ht="15" customHeight="1" x14ac:dyDescent="0.35">
      <c r="A122" s="86">
        <v>5</v>
      </c>
      <c r="B122" s="152"/>
      <c r="C122" s="460"/>
      <c r="D122" s="461"/>
      <c r="E122" s="155"/>
      <c r="F122" s="153"/>
      <c r="G122" s="93"/>
      <c r="H122" s="91"/>
      <c r="I122" s="91"/>
      <c r="J122" s="94"/>
      <c r="K122" s="136">
        <f t="shared" si="17"/>
        <v>0</v>
      </c>
    </row>
    <row r="123" spans="1:11" ht="15" customHeight="1" x14ac:dyDescent="0.35">
      <c r="A123" s="86">
        <v>6</v>
      </c>
      <c r="B123" s="152"/>
      <c r="C123" s="460"/>
      <c r="D123" s="461"/>
      <c r="E123" s="155"/>
      <c r="F123" s="153"/>
      <c r="G123" s="93"/>
      <c r="H123" s="91"/>
      <c r="I123" s="91"/>
      <c r="J123" s="94"/>
      <c r="K123" s="136">
        <f t="shared" si="17"/>
        <v>0</v>
      </c>
    </row>
    <row r="124" spans="1:11" ht="15" customHeight="1" x14ac:dyDescent="0.35">
      <c r="A124" s="86">
        <v>7</v>
      </c>
      <c r="B124" s="152"/>
      <c r="C124" s="460"/>
      <c r="D124" s="461"/>
      <c r="E124" s="155"/>
      <c r="F124" s="153"/>
      <c r="G124" s="93"/>
      <c r="H124" s="91"/>
      <c r="I124" s="91"/>
      <c r="J124" s="94"/>
      <c r="K124" s="136">
        <f t="shared" si="17"/>
        <v>0</v>
      </c>
    </row>
    <row r="125" spans="1:11" ht="15" customHeight="1" x14ac:dyDescent="0.35">
      <c r="A125" s="86">
        <v>8</v>
      </c>
      <c r="B125" s="152"/>
      <c r="C125" s="460"/>
      <c r="D125" s="461"/>
      <c r="E125" s="155"/>
      <c r="F125" s="153"/>
      <c r="G125" s="93"/>
      <c r="H125" s="91"/>
      <c r="I125" s="91"/>
      <c r="J125" s="94"/>
      <c r="K125" s="136">
        <f t="shared" si="17"/>
        <v>0</v>
      </c>
    </row>
    <row r="126" spans="1:11" ht="15" customHeight="1" x14ac:dyDescent="0.35">
      <c r="A126" s="86">
        <v>9</v>
      </c>
      <c r="B126" s="152"/>
      <c r="C126" s="460"/>
      <c r="D126" s="461"/>
      <c r="E126" s="155"/>
      <c r="F126" s="153"/>
      <c r="G126" s="93"/>
      <c r="H126" s="91"/>
      <c r="I126" s="91"/>
      <c r="J126" s="94"/>
      <c r="K126" s="136">
        <f t="shared" si="17"/>
        <v>0</v>
      </c>
    </row>
    <row r="127" spans="1:11" ht="15" customHeight="1" x14ac:dyDescent="0.35">
      <c r="A127" s="86">
        <v>10</v>
      </c>
      <c r="B127" s="152"/>
      <c r="C127" s="460"/>
      <c r="D127" s="461"/>
      <c r="E127" s="155"/>
      <c r="F127" s="153"/>
      <c r="G127" s="93"/>
      <c r="H127" s="91"/>
      <c r="I127" s="91"/>
      <c r="J127" s="94"/>
      <c r="K127" s="136">
        <f>SUM(G127:J127)</f>
        <v>0</v>
      </c>
    </row>
    <row r="128" spans="1:11" ht="15" customHeight="1" x14ac:dyDescent="0.35">
      <c r="A128" s="86">
        <v>11</v>
      </c>
      <c r="B128" s="152"/>
      <c r="C128" s="460"/>
      <c r="D128" s="461"/>
      <c r="E128" s="155"/>
      <c r="F128" s="153"/>
      <c r="G128" s="93"/>
      <c r="H128" s="91"/>
      <c r="I128" s="91"/>
      <c r="J128" s="94"/>
      <c r="K128" s="136">
        <f t="shared" si="17"/>
        <v>0</v>
      </c>
    </row>
    <row r="129" spans="1:11" ht="15" customHeight="1" x14ac:dyDescent="0.35">
      <c r="A129" s="86">
        <v>12</v>
      </c>
      <c r="B129" s="152"/>
      <c r="C129" s="460"/>
      <c r="D129" s="461"/>
      <c r="E129" s="155"/>
      <c r="F129" s="153"/>
      <c r="G129" s="93"/>
      <c r="H129" s="91"/>
      <c r="I129" s="91"/>
      <c r="J129" s="94"/>
      <c r="K129" s="136">
        <f t="shared" si="17"/>
        <v>0</v>
      </c>
    </row>
    <row r="130" spans="1:11" ht="15" customHeight="1" x14ac:dyDescent="0.35">
      <c r="A130" s="86">
        <v>13</v>
      </c>
      <c r="B130" s="152"/>
      <c r="C130" s="460"/>
      <c r="D130" s="461"/>
      <c r="E130" s="155"/>
      <c r="F130" s="153"/>
      <c r="G130" s="93"/>
      <c r="H130" s="91"/>
      <c r="I130" s="91"/>
      <c r="J130" s="94"/>
      <c r="K130" s="136">
        <f t="shared" si="17"/>
        <v>0</v>
      </c>
    </row>
    <row r="131" spans="1:11" ht="15" customHeight="1" x14ac:dyDescent="0.35">
      <c r="A131" s="86">
        <v>14</v>
      </c>
      <c r="B131" s="152"/>
      <c r="C131" s="460"/>
      <c r="D131" s="461"/>
      <c r="E131" s="155"/>
      <c r="F131" s="153"/>
      <c r="G131" s="93"/>
      <c r="H131" s="91"/>
      <c r="I131" s="91"/>
      <c r="J131" s="94"/>
      <c r="K131" s="136">
        <f t="shared" si="17"/>
        <v>0</v>
      </c>
    </row>
    <row r="132" spans="1:11" ht="15" customHeight="1" x14ac:dyDescent="0.35">
      <c r="A132" s="86">
        <v>15</v>
      </c>
      <c r="B132" s="152"/>
      <c r="C132" s="460"/>
      <c r="D132" s="461"/>
      <c r="E132" s="155"/>
      <c r="F132" s="153"/>
      <c r="G132" s="93"/>
      <c r="H132" s="91"/>
      <c r="I132" s="91"/>
      <c r="J132" s="94"/>
      <c r="K132" s="136">
        <f>SUM(G132:J132)</f>
        <v>0</v>
      </c>
    </row>
    <row r="133" spans="1:11" ht="15" customHeight="1" x14ac:dyDescent="0.35">
      <c r="A133" s="86">
        <v>16</v>
      </c>
      <c r="B133" s="152"/>
      <c r="C133" s="460"/>
      <c r="D133" s="461"/>
      <c r="E133" s="155"/>
      <c r="F133" s="153"/>
      <c r="G133" s="93"/>
      <c r="H133" s="91"/>
      <c r="I133" s="91"/>
      <c r="J133" s="94"/>
      <c r="K133" s="136">
        <f>SUM(G133:J133)</f>
        <v>0</v>
      </c>
    </row>
    <row r="134" spans="1:11" ht="15.75" customHeight="1" thickBot="1" x14ac:dyDescent="0.4">
      <c r="A134" s="513" t="s">
        <v>117</v>
      </c>
      <c r="B134" s="514"/>
      <c r="C134" s="514"/>
      <c r="D134" s="514"/>
      <c r="E134" s="514"/>
      <c r="F134" s="515"/>
      <c r="G134" s="138">
        <f>SUM(G118:G133)</f>
        <v>0</v>
      </c>
      <c r="H134" s="138">
        <f>SUM(H118:H133)</f>
        <v>0</v>
      </c>
      <c r="I134" s="138">
        <f>SUM(I118:I133)</f>
        <v>0</v>
      </c>
      <c r="J134" s="138">
        <f>SUM(J118:J133)</f>
        <v>0</v>
      </c>
      <c r="K134" s="137">
        <f>SUM(K118:K133)</f>
        <v>0</v>
      </c>
    </row>
    <row r="135" spans="1:11" ht="14.5" thickTop="1" x14ac:dyDescent="0.35"/>
    <row r="137" spans="1:11" ht="15" customHeight="1" x14ac:dyDescent="0.35">
      <c r="A137" s="1"/>
      <c r="B137" s="70"/>
      <c r="C137" s="5"/>
      <c r="D137" s="5"/>
      <c r="E137" s="5"/>
      <c r="F137" s="5"/>
      <c r="G137" s="5"/>
      <c r="H137" s="5"/>
      <c r="I137" s="5"/>
      <c r="J137" s="5"/>
      <c r="K137" s="5"/>
    </row>
    <row r="138" spans="1:11" ht="15" customHeight="1" x14ac:dyDescent="0.35">
      <c r="A138" s="5"/>
      <c r="B138" s="5"/>
      <c r="C138" s="5"/>
      <c r="D138" s="5"/>
      <c r="E138" s="5"/>
      <c r="F138" s="5"/>
      <c r="G138" s="5"/>
      <c r="H138" s="5"/>
      <c r="I138" s="5"/>
      <c r="J138" s="5"/>
      <c r="K138" s="5"/>
    </row>
    <row r="139" spans="1:11" ht="15" customHeight="1" x14ac:dyDescent="0.35">
      <c r="A139" s="5"/>
      <c r="B139" s="5"/>
      <c r="C139" s="5"/>
      <c r="D139" s="5"/>
      <c r="E139" s="5"/>
      <c r="F139" s="5"/>
      <c r="G139" s="5"/>
      <c r="H139" s="5"/>
      <c r="I139" s="5"/>
      <c r="J139" s="5"/>
      <c r="K139" s="5"/>
    </row>
    <row r="140" spans="1:11" ht="15" customHeight="1" x14ac:dyDescent="0.35">
      <c r="A140" s="5"/>
      <c r="B140" s="5"/>
      <c r="C140" s="5"/>
      <c r="D140" s="5"/>
      <c r="E140" s="5"/>
      <c r="F140" s="5"/>
      <c r="G140" s="5"/>
      <c r="H140" s="5"/>
      <c r="I140" s="5"/>
      <c r="J140" s="5"/>
      <c r="K140" s="5"/>
    </row>
    <row r="141" spans="1:11" ht="15" customHeight="1" x14ac:dyDescent="0.35">
      <c r="A141" s="5"/>
      <c r="B141" s="5"/>
      <c r="C141" s="5"/>
      <c r="D141" s="5"/>
      <c r="E141" s="5"/>
      <c r="F141" s="5"/>
      <c r="G141" s="5"/>
      <c r="H141" s="5"/>
      <c r="I141" s="5"/>
      <c r="J141" s="5"/>
      <c r="K141" s="5"/>
    </row>
    <row r="142" spans="1:11" ht="15" customHeight="1" x14ac:dyDescent="0.35">
      <c r="A142" s="5"/>
      <c r="B142" s="5"/>
      <c r="C142" s="5"/>
      <c r="D142" s="5"/>
      <c r="E142" s="5"/>
      <c r="F142" s="5"/>
      <c r="G142" s="5"/>
      <c r="H142" s="5"/>
      <c r="I142" s="5"/>
      <c r="J142" s="5"/>
      <c r="K142" s="5"/>
    </row>
    <row r="143" spans="1:11" ht="15.75" customHeight="1" x14ac:dyDescent="0.35">
      <c r="A143" s="5"/>
      <c r="B143" s="5"/>
      <c r="C143" s="5"/>
      <c r="D143" s="5"/>
      <c r="E143" s="5"/>
      <c r="F143" s="5"/>
      <c r="G143" s="5"/>
      <c r="H143" s="5"/>
      <c r="I143" s="5"/>
      <c r="J143" s="64"/>
      <c r="K143" s="65"/>
    </row>
    <row r="144" spans="1:11" x14ac:dyDescent="0.35">
      <c r="A144" s="11"/>
      <c r="C144" s="11"/>
      <c r="D144" s="11"/>
      <c r="E144" s="11"/>
      <c r="F144" s="11"/>
      <c r="G144" s="11"/>
      <c r="H144" s="11"/>
      <c r="I144" s="11"/>
      <c r="J144" s="64"/>
      <c r="K144" s="65"/>
    </row>
    <row r="155" spans="1:11" x14ac:dyDescent="0.35">
      <c r="A155" s="1"/>
      <c r="B155" s="1"/>
      <c r="G155" s="1"/>
      <c r="H155" s="64"/>
      <c r="I155" s="64"/>
      <c r="J155" s="64"/>
      <c r="K155" s="65"/>
    </row>
    <row r="202" spans="1:11" x14ac:dyDescent="0.35">
      <c r="A202" s="24"/>
      <c r="B202" s="24"/>
      <c r="C202" s="471"/>
      <c r="D202" s="471"/>
      <c r="E202" s="471"/>
      <c r="F202" s="24"/>
      <c r="G202" s="66"/>
      <c r="H202" s="66"/>
      <c r="I202" s="66"/>
      <c r="J202" s="66"/>
      <c r="K202" s="67"/>
    </row>
    <row r="203" spans="1:11" x14ac:dyDescent="0.35">
      <c r="A203" s="24"/>
      <c r="B203" s="24"/>
      <c r="C203" s="471"/>
      <c r="D203" s="471"/>
      <c r="E203" s="471"/>
      <c r="F203" s="24"/>
      <c r="G203" s="66"/>
      <c r="H203" s="66"/>
      <c r="I203" s="66"/>
      <c r="J203" s="66"/>
      <c r="K203" s="67"/>
    </row>
  </sheetData>
  <dataConsolidate/>
  <mergeCells count="176">
    <mergeCell ref="C45:E45"/>
    <mergeCell ref="C46:E46"/>
    <mergeCell ref="A4:K4"/>
    <mergeCell ref="C5:E7"/>
    <mergeCell ref="C8:E8"/>
    <mergeCell ref="C9:E9"/>
    <mergeCell ref="C10:E10"/>
    <mergeCell ref="C11:E11"/>
    <mergeCell ref="C12:E12"/>
    <mergeCell ref="C71:E71"/>
    <mergeCell ref="K5:K7"/>
    <mergeCell ref="G6:H6"/>
    <mergeCell ref="I6:J6"/>
    <mergeCell ref="A13:D13"/>
    <mergeCell ref="A5:A7"/>
    <mergeCell ref="B5:B7"/>
    <mergeCell ref="F5:F7"/>
    <mergeCell ref="G5:J5"/>
    <mergeCell ref="I65:J65"/>
    <mergeCell ref="G53:J53"/>
    <mergeCell ref="A26:D26"/>
    <mergeCell ref="A52:K52"/>
    <mergeCell ref="K64:K66"/>
    <mergeCell ref="G65:H65"/>
    <mergeCell ref="A39:K39"/>
    <mergeCell ref="B53:B55"/>
    <mergeCell ref="C53:E55"/>
    <mergeCell ref="G41:H41"/>
    <mergeCell ref="I41:J41"/>
    <mergeCell ref="F40:F42"/>
    <mergeCell ref="K53:K55"/>
    <mergeCell ref="C68:E68"/>
    <mergeCell ref="C21:D21"/>
    <mergeCell ref="C203:E203"/>
    <mergeCell ref="C16:D18"/>
    <mergeCell ref="E16:E18"/>
    <mergeCell ref="C19:D19"/>
    <mergeCell ref="C20:D20"/>
    <mergeCell ref="C23:D23"/>
    <mergeCell ref="C24:D24"/>
    <mergeCell ref="C25:D25"/>
    <mergeCell ref="A114:K114"/>
    <mergeCell ref="A115:A117"/>
    <mergeCell ref="G115:J115"/>
    <mergeCell ref="K115:K117"/>
    <mergeCell ref="G116:H116"/>
    <mergeCell ref="I116:J116"/>
    <mergeCell ref="A37:D37"/>
    <mergeCell ref="A92:K92"/>
    <mergeCell ref="A93:A95"/>
    <mergeCell ref="B93:B95"/>
    <mergeCell ref="C93:E95"/>
    <mergeCell ref="G93:J93"/>
    <mergeCell ref="C87:E87"/>
    <mergeCell ref="C88:E88"/>
    <mergeCell ref="B82:B84"/>
    <mergeCell ref="A53:A55"/>
    <mergeCell ref="C121:D121"/>
    <mergeCell ref="C59:E59"/>
    <mergeCell ref="C60:E60"/>
    <mergeCell ref="B104:B106"/>
    <mergeCell ref="C104:E106"/>
    <mergeCell ref="C202:E202"/>
    <mergeCell ref="A40:A42"/>
    <mergeCell ref="B40:B42"/>
    <mergeCell ref="C40:E42"/>
    <mergeCell ref="B64:B66"/>
    <mergeCell ref="A134:F134"/>
    <mergeCell ref="F93:F95"/>
    <mergeCell ref="F104:F106"/>
    <mergeCell ref="F115:F117"/>
    <mergeCell ref="A50:F50"/>
    <mergeCell ref="A61:F61"/>
    <mergeCell ref="A79:F79"/>
    <mergeCell ref="A90:F90"/>
    <mergeCell ref="A101:F101"/>
    <mergeCell ref="A112:F112"/>
    <mergeCell ref="C111:E111"/>
    <mergeCell ref="A81:K81"/>
    <mergeCell ref="G40:J40"/>
    <mergeCell ref="K40:K42"/>
    <mergeCell ref="C69:E69"/>
    <mergeCell ref="C64:E66"/>
    <mergeCell ref="C43:E43"/>
    <mergeCell ref="G64:J64"/>
    <mergeCell ref="C77:E77"/>
    <mergeCell ref="C78:E78"/>
    <mergeCell ref="C85:E85"/>
    <mergeCell ref="C86:E86"/>
    <mergeCell ref="C44:E44"/>
    <mergeCell ref="C47:E47"/>
    <mergeCell ref="C48:E48"/>
    <mergeCell ref="C49:E49"/>
    <mergeCell ref="C56:E56"/>
    <mergeCell ref="C57:E57"/>
    <mergeCell ref="C58:E58"/>
    <mergeCell ref="F53:F55"/>
    <mergeCell ref="F64:F66"/>
    <mergeCell ref="F82:F84"/>
    <mergeCell ref="G54:H54"/>
    <mergeCell ref="I54:J54"/>
    <mergeCell ref="C75:E75"/>
    <mergeCell ref="C76:E76"/>
    <mergeCell ref="C67:E67"/>
    <mergeCell ref="C70:E70"/>
    <mergeCell ref="A1:K1"/>
    <mergeCell ref="C2:K2"/>
    <mergeCell ref="A28:K28"/>
    <mergeCell ref="A29:A31"/>
    <mergeCell ref="B29:B31"/>
    <mergeCell ref="C29:C31"/>
    <mergeCell ref="D29:D31"/>
    <mergeCell ref="E29:E31"/>
    <mergeCell ref="G29:J29"/>
    <mergeCell ref="A15:K15"/>
    <mergeCell ref="A16:A18"/>
    <mergeCell ref="B16:B18"/>
    <mergeCell ref="G16:J16"/>
    <mergeCell ref="K16:K18"/>
    <mergeCell ref="G17:H17"/>
    <mergeCell ref="I17:J17"/>
    <mergeCell ref="A2:B2"/>
    <mergeCell ref="F16:F18"/>
    <mergeCell ref="F29:F31"/>
    <mergeCell ref="K29:K31"/>
    <mergeCell ref="G30:H30"/>
    <mergeCell ref="I30:J30"/>
    <mergeCell ref="C22:D22"/>
    <mergeCell ref="A63:K63"/>
    <mergeCell ref="A64:A66"/>
    <mergeCell ref="C82:E84"/>
    <mergeCell ref="C72:E72"/>
    <mergeCell ref="C73:E73"/>
    <mergeCell ref="B115:B117"/>
    <mergeCell ref="C115:D117"/>
    <mergeCell ref="A82:A84"/>
    <mergeCell ref="I105:J105"/>
    <mergeCell ref="C107:E107"/>
    <mergeCell ref="C108:E108"/>
    <mergeCell ref="C109:E109"/>
    <mergeCell ref="C110:E110"/>
    <mergeCell ref="A103:K103"/>
    <mergeCell ref="A104:A106"/>
    <mergeCell ref="G83:H83"/>
    <mergeCell ref="I83:J83"/>
    <mergeCell ref="G105:H105"/>
    <mergeCell ref="C96:E96"/>
    <mergeCell ref="K104:K106"/>
    <mergeCell ref="C97:E97"/>
    <mergeCell ref="C98:E98"/>
    <mergeCell ref="C99:E99"/>
    <mergeCell ref="C100:E100"/>
    <mergeCell ref="C122:D122"/>
    <mergeCell ref="C123:D123"/>
    <mergeCell ref="C124:D124"/>
    <mergeCell ref="K93:K95"/>
    <mergeCell ref="G94:H94"/>
    <mergeCell ref="C74:E74"/>
    <mergeCell ref="C132:D132"/>
    <mergeCell ref="C133:D133"/>
    <mergeCell ref="C125:D125"/>
    <mergeCell ref="C126:D126"/>
    <mergeCell ref="C127:D127"/>
    <mergeCell ref="C128:D128"/>
    <mergeCell ref="C129:D129"/>
    <mergeCell ref="G104:J104"/>
    <mergeCell ref="E115:E117"/>
    <mergeCell ref="C118:D118"/>
    <mergeCell ref="C119:D119"/>
    <mergeCell ref="C120:D120"/>
    <mergeCell ref="C130:D130"/>
    <mergeCell ref="C131:D131"/>
    <mergeCell ref="I94:J94"/>
    <mergeCell ref="G82:J82"/>
    <mergeCell ref="K82:K84"/>
    <mergeCell ref="C89:E89"/>
  </mergeCells>
  <conditionalFormatting sqref="A13:D13">
    <cfRule type="containsText" dxfId="8" priority="1" stopIfTrue="1" operator="containsText" text="no">
      <formula>NOT(ISERROR(SEARCH("no",A13)))</formula>
    </cfRule>
  </conditionalFormatting>
  <conditionalFormatting sqref="A26:D27">
    <cfRule type="containsText" dxfId="7" priority="4" stopIfTrue="1" operator="containsText" text="no">
      <formula>NOT(ISERROR(SEARCH("no",A26)))</formula>
    </cfRule>
  </conditionalFormatting>
  <conditionalFormatting sqref="A37:D37">
    <cfRule type="containsText" dxfId="6" priority="2" operator="containsText" text="suma">
      <formula>NOT(ISERROR(SEARCH("suma",A37)))</formula>
    </cfRule>
  </conditionalFormatting>
  <dataValidations xWindow="887" yWindow="882" count="3">
    <dataValidation type="list" allowBlank="1" showInputMessage="1" showErrorMessage="1" sqref="F67:F78 F32:F36 F43:F49 F56:F60 F8:F12 F85:F89 F96:F100 F107:F111 F19:F25" xr:uid="{00000000-0002-0000-0200-000000000000}">
      <formula1>año</formula1>
    </dataValidation>
    <dataValidation type="list" allowBlank="1" showInputMessage="1" showErrorMessage="1" prompt="Se deberá diligenciar fila por cada año según la ejecución de la propuesta, y de acuerdo a los términos de referencia de la convocatoria." sqref="F118:F133" xr:uid="{00000000-0002-0000-0200-000001000000}">
      <formula1>año</formula1>
    </dataValidation>
    <dataValidation type="list" allowBlank="1" showInputMessage="1" showErrorMessage="1" sqref="E118:E133" xr:uid="{00000000-0002-0000-0200-000002000000}">
      <formula1>listaotrosrubros</formula1>
    </dataValidation>
  </dataValidations>
  <pageMargins left="0.7" right="0.7" top="0.75" bottom="0.75" header="0.3" footer="0.3"/>
  <pageSetup paperSize="9" scale="57" fitToHeight="0" orientation="landscape" r:id="rId1"/>
  <legacyDrawing r:id="rId2"/>
  <extLst>
    <ext xmlns:x14="http://schemas.microsoft.com/office/spreadsheetml/2009/9/main" uri="{CCE6A557-97BC-4b89-ADB6-D9C93CAAB3DF}">
      <x14:dataValidations xmlns:xm="http://schemas.microsoft.com/office/excel/2006/main" xWindow="887" yWindow="882" count="2">
        <x14:dataValidation type="list" allowBlank="1" showInputMessage="1" showErrorMessage="1" xr:uid="{00000000-0002-0000-0200-000003000000}">
          <x14:formula1>
            <xm:f>Listas!$A$63:$A$65</xm:f>
          </x14:formula1>
          <xm:sqref>E19:E25</xm:sqref>
        </x14:dataValidation>
        <x14:dataValidation type="list" allowBlank="1" showInputMessage="1" showErrorMessage="1" xr:uid="{00000000-0002-0000-0200-000004000000}">
          <x14:formula1>
            <xm:f>Listas!$A$68:$A$69</xm:f>
          </x14:formula1>
          <xm:sqref>E32:E36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4"/>
  <sheetViews>
    <sheetView tabSelected="1" topLeftCell="A19" zoomScaleNormal="100" workbookViewId="0">
      <selection activeCell="C48" sqref="C48"/>
    </sheetView>
  </sheetViews>
  <sheetFormatPr baseColWidth="10" defaultColWidth="11.453125" defaultRowHeight="14" x14ac:dyDescent="0.35"/>
  <cols>
    <col min="1" max="1" width="5.26953125" style="4" bestFit="1" customWidth="1"/>
    <col min="2" max="2" width="37.7265625" style="1" customWidth="1"/>
    <col min="3" max="14" width="18.26953125" style="1" customWidth="1"/>
    <col min="15" max="15" width="24.453125" style="1" customWidth="1"/>
    <col min="16" max="16" width="11.453125" style="1"/>
    <col min="17" max="17" width="14.1796875" style="1" customWidth="1"/>
    <col min="18" max="16384" width="11.453125" style="1"/>
  </cols>
  <sheetData>
    <row r="1" spans="1:15" ht="15.5" x14ac:dyDescent="0.35">
      <c r="A1" s="545" t="s">
        <v>130</v>
      </c>
      <c r="B1" s="545"/>
      <c r="C1" s="545"/>
      <c r="D1" s="545"/>
      <c r="E1" s="545"/>
      <c r="F1" s="545"/>
      <c r="G1" s="545"/>
      <c r="H1" s="545"/>
      <c r="I1" s="545"/>
      <c r="J1" s="545"/>
      <c r="K1" s="545"/>
      <c r="L1" s="189"/>
      <c r="M1" s="189"/>
      <c r="N1" s="189"/>
      <c r="O1" s="189"/>
    </row>
    <row r="2" spans="1:15" ht="54.75" customHeight="1" x14ac:dyDescent="0.35">
      <c r="A2" s="23"/>
      <c r="B2" s="120" t="s">
        <v>54</v>
      </c>
      <c r="C2" s="494">
        <f>Formato!$E$7</f>
        <v>0</v>
      </c>
      <c r="D2" s="494"/>
      <c r="E2" s="494"/>
      <c r="F2" s="494"/>
      <c r="G2" s="494"/>
      <c r="H2" s="494"/>
      <c r="I2" s="494"/>
      <c r="J2" s="494"/>
      <c r="K2" s="494"/>
      <c r="L2" s="5"/>
      <c r="M2" s="5"/>
      <c r="N2" s="5"/>
      <c r="O2" s="5"/>
    </row>
    <row r="3" spans="1:15" ht="20.25" customHeight="1" x14ac:dyDescent="0.35">
      <c r="A3" s="23"/>
      <c r="B3" s="120" t="s">
        <v>131</v>
      </c>
      <c r="C3" s="544" t="str">
        <f>Formato!$B$5</f>
        <v>CONVOCATORIA MISIÓN 6.0: SINERGIAS CAMPO - CIUDAD: CERRANDO BRECHAS</v>
      </c>
      <c r="D3" s="544"/>
      <c r="E3" s="544"/>
      <c r="F3" s="544"/>
      <c r="G3" s="544"/>
      <c r="H3" s="544"/>
      <c r="I3" s="544"/>
      <c r="J3" s="544"/>
      <c r="K3" s="544"/>
      <c r="L3" s="5"/>
      <c r="M3" s="5"/>
      <c r="N3" s="5"/>
      <c r="O3" s="5"/>
    </row>
    <row r="4" spans="1:15" ht="20.25" customHeight="1" x14ac:dyDescent="0.35">
      <c r="A4" s="23"/>
      <c r="B4" s="120" t="s">
        <v>132</v>
      </c>
      <c r="C4" s="544" t="str">
        <f>Formato!$B$6</f>
        <v xml:space="preserve">INVESTIGACIÓN CIENTÍFICA BÁSICA </v>
      </c>
      <c r="D4" s="544"/>
      <c r="E4" s="544"/>
      <c r="F4" s="544"/>
      <c r="G4" s="544"/>
      <c r="H4" s="544"/>
      <c r="I4" s="544"/>
      <c r="J4" s="544"/>
      <c r="K4" s="544"/>
    </row>
    <row r="5" spans="1:15" ht="30" customHeight="1" x14ac:dyDescent="0.35">
      <c r="A5" s="548" t="s">
        <v>96</v>
      </c>
      <c r="B5" s="550" t="s">
        <v>133</v>
      </c>
      <c r="C5" s="546" t="s">
        <v>321</v>
      </c>
      <c r="D5" s="547"/>
      <c r="E5" s="546" t="s">
        <v>351</v>
      </c>
      <c r="F5" s="547"/>
      <c r="G5" s="552" t="s">
        <v>322</v>
      </c>
      <c r="H5" s="553"/>
      <c r="I5" s="552" t="s">
        <v>352</v>
      </c>
      <c r="J5" s="553"/>
      <c r="K5" s="554" t="s">
        <v>80</v>
      </c>
    </row>
    <row r="6" spans="1:15" ht="14.5" thickBot="1" x14ac:dyDescent="0.4">
      <c r="A6" s="549"/>
      <c r="B6" s="551"/>
      <c r="C6" s="114" t="s">
        <v>78</v>
      </c>
      <c r="D6" s="115" t="s">
        <v>79</v>
      </c>
      <c r="E6" s="114" t="s">
        <v>78</v>
      </c>
      <c r="F6" s="115" t="s">
        <v>79</v>
      </c>
      <c r="G6" s="114" t="s">
        <v>78</v>
      </c>
      <c r="H6" s="115" t="s">
        <v>79</v>
      </c>
      <c r="I6" s="114" t="s">
        <v>78</v>
      </c>
      <c r="J6" s="115" t="s">
        <v>79</v>
      </c>
      <c r="K6" s="555"/>
      <c r="O6" s="18"/>
    </row>
    <row r="7" spans="1:15" ht="15" customHeight="1" x14ac:dyDescent="0.35">
      <c r="A7" s="167">
        <v>1</v>
      </c>
      <c r="B7" s="111" t="s">
        <v>134</v>
      </c>
      <c r="C7" s="147">
        <f>SUMIFS(efectivo_uis,rubro_personal,"honorarios",Año_personal,"2026")</f>
        <v>0</v>
      </c>
      <c r="D7" s="147">
        <f>SUMIFS(especie_uis,rubro_personal,"honorarios",Año_personal,"2026")</f>
        <v>0</v>
      </c>
      <c r="E7" s="147">
        <f>SUMIFS(efectivo_uis,rubro_personal,"honorarios",Año_personal,"2027")</f>
        <v>0</v>
      </c>
      <c r="F7" s="147">
        <f>SUMIFS(especie_uis,rubro_personal,"honorarios",Año_personal,"2027")</f>
        <v>0</v>
      </c>
      <c r="G7" s="147">
        <f>SUMIFS(otras_efectivo,rubro_personal,"honorarios",Año_personal,"2026")</f>
        <v>0</v>
      </c>
      <c r="H7" s="148">
        <f>SUMIFS(otras_especie,rubro_personal,"honorarios",Año_personal,"2026")</f>
        <v>0</v>
      </c>
      <c r="I7" s="147">
        <f>SUMIFS(otras_efectivo,rubro_personal,"honorarios",Año_personal,"2027")</f>
        <v>0</v>
      </c>
      <c r="J7" s="148">
        <f>SUMIFS(otras_especie,rubro_personal,"honorarios",Año_personal,"2027")</f>
        <v>0</v>
      </c>
      <c r="K7" s="140">
        <f t="shared" ref="K7:K37" si="0">SUM(C7:J7)</f>
        <v>0</v>
      </c>
      <c r="O7" s="52" t="s">
        <v>135</v>
      </c>
    </row>
    <row r="8" spans="1:15" ht="15" customHeight="1" x14ac:dyDescent="0.35">
      <c r="A8" s="167">
        <v>2</v>
      </c>
      <c r="B8" s="112" t="s">
        <v>136</v>
      </c>
      <c r="C8" s="147">
        <f>SUMIFS(efectivo_uis,rubro_personal,"Auxiliares estudiantiles",Año_personal,"2026")-SUMIFS(Vl_riesgos_est,TipoFinan,"Efectivo",Entidad_finan,"UIS",Año_personal,"2026")</f>
        <v>0</v>
      </c>
      <c r="D8" s="147">
        <v>0</v>
      </c>
      <c r="E8" s="147">
        <f>SUMIFS(efectivo_uis,rubro_personal,"Auxiliares estudiantiles",Año_personal,"2027")-SUMIFS(Vl_riesgos_est,TipoFinan,"Efectivo",Entidad_finan,"UIS",Año_personal,"2027")</f>
        <v>0</v>
      </c>
      <c r="F8" s="147">
        <v>0</v>
      </c>
      <c r="G8" s="147">
        <f>SUMIFS(otras_efectivo,rubro_personal,"Auxiliares estudiantiles",Año_personal,"2026")-SUMIFS(Vl_riesgos_est,TipoFinan,"Efectivo",Entidad_finan,"Otra(s) Institución(es)",Año_personal,"2026")</f>
        <v>0</v>
      </c>
      <c r="H8" s="148">
        <v>0</v>
      </c>
      <c r="I8" s="147">
        <f>SUMIFS(otras_efectivo,rubro_personal,"Auxiliares estudiantiles",Año_personal,"2027")-SUMIFS(Vl_riesgos_est,TipoFinan,"Efectivo",Entidad_finan,"Otra(s) Institución(es)",Año_personal,"2027")</f>
        <v>0</v>
      </c>
      <c r="J8" s="148">
        <v>0</v>
      </c>
      <c r="K8" s="140">
        <f t="shared" si="0"/>
        <v>0</v>
      </c>
      <c r="L8" s="5"/>
      <c r="M8" s="5"/>
      <c r="N8" s="5"/>
      <c r="O8" s="53" t="s">
        <v>137</v>
      </c>
    </row>
    <row r="9" spans="1:15" ht="15" customHeight="1" x14ac:dyDescent="0.35">
      <c r="A9" s="167">
        <v>3</v>
      </c>
      <c r="B9" s="112" t="s">
        <v>138</v>
      </c>
      <c r="C9" s="147">
        <f>SUMIFS(Vl_riesgos_est,Año_personal,"2026",Entidad_finan,"UIS",TipoFinan,"Efectivo")+SUMIFS(Vl_riesgos_est,Año_personal,"2026",Entidad_finan,"UIS",TipoFinan,"Ad-Honorem")</f>
        <v>0</v>
      </c>
      <c r="D9" s="147">
        <v>0</v>
      </c>
      <c r="E9" s="147">
        <f>SUMIFS(Vl_riesgos_est,Año_personal,"2027",Entidad_finan,"UIS",TipoFinan,"Efectivo")+SUMIFS(Vl_riesgos_est,Año_personal,"2027",Entidad_finan,"UIS",TipoFinan,"Ad-Honorem")</f>
        <v>0</v>
      </c>
      <c r="F9" s="147">
        <v>0</v>
      </c>
      <c r="G9" s="147">
        <f>SUMIFS(Vl_riesgos_est,Año_personal,"2026",Entidad_finan,"Otra(s) Institución(es)",TipoFinan,"Efectivo")+SUMIFS(Vl_riesgos_est,Año_personal,"2026",Entidad_finan,"Otra(s) Institución(es)",TipoFinan,"Ad-Honorem")</f>
        <v>0</v>
      </c>
      <c r="H9" s="148">
        <v>0</v>
      </c>
      <c r="I9" s="147">
        <f>SUMIFS(Vl_riesgos_est,Año_personal,"2027",Entidad_finan,"Otra(s) Institución(es)",TipoFinan,"Efectivo")+SUMIFS(Vl_riesgos_est,Año_personal,"2027",Entidad_finan,"Otra(s) Institución(es)",TipoFinan,"Ad-Honorem")</f>
        <v>0</v>
      </c>
      <c r="J9" s="148">
        <v>0</v>
      </c>
      <c r="K9" s="140">
        <f t="shared" si="0"/>
        <v>0</v>
      </c>
      <c r="L9" s="5"/>
      <c r="M9" s="5"/>
      <c r="N9" s="5"/>
      <c r="O9" s="53" t="s">
        <v>139</v>
      </c>
    </row>
    <row r="10" spans="1:15" ht="15" customHeight="1" x14ac:dyDescent="0.35">
      <c r="A10" s="167">
        <v>4</v>
      </c>
      <c r="B10" s="112" t="s">
        <v>140</v>
      </c>
      <c r="C10" s="147">
        <f>SUMIF(Año_ST,"2026",efec_STUIS)</f>
        <v>0</v>
      </c>
      <c r="D10" s="147">
        <f>SUMIF(Año_ST,"2026",Esp_STUIS)</f>
        <v>0</v>
      </c>
      <c r="E10" s="147">
        <f>SUMIF(Año_ST,"2027",efec_STUIS)</f>
        <v>0</v>
      </c>
      <c r="F10" s="147">
        <f>SUMIF(Año_ST,"2027",Esp_STUIS)</f>
        <v>0</v>
      </c>
      <c r="G10" s="147">
        <f>SUMIF(Año_ST,"2026",Efec_STOTRA)</f>
        <v>0</v>
      </c>
      <c r="H10" s="148">
        <f>SUMIF(Año_ST,"2026",Esp_STOTRA)</f>
        <v>0</v>
      </c>
      <c r="I10" s="147">
        <f>SUMIF(Año_ST,"2027",Efec_STOTRA)</f>
        <v>0</v>
      </c>
      <c r="J10" s="148">
        <f>SUMIF(Año_ST,"2027",Esp_STOTRA)</f>
        <v>0</v>
      </c>
      <c r="K10" s="140">
        <f t="shared" si="0"/>
        <v>0</v>
      </c>
      <c r="L10" s="5"/>
      <c r="M10" s="5"/>
      <c r="N10" s="5"/>
      <c r="O10" s="53"/>
    </row>
    <row r="11" spans="1:15" ht="15" customHeight="1" x14ac:dyDescent="0.35">
      <c r="A11" s="167">
        <v>5</v>
      </c>
      <c r="B11" s="112" t="s">
        <v>141</v>
      </c>
      <c r="C11" s="147">
        <f>SUMIFS(ef_viajes,rubro_viajes,"Pasajes",Año_viajes,"2026")</f>
        <v>0</v>
      </c>
      <c r="D11" s="147">
        <f>SUMIFS(esp_viajes,rubro_viajes,"Pasajes",Año_viajes,"2026")</f>
        <v>0</v>
      </c>
      <c r="E11" s="147">
        <f>SUMIFS(ef_viajes,rubro_viajes,"Pasajes",Año_viajes,"2027")</f>
        <v>0</v>
      </c>
      <c r="F11" s="147">
        <f>SUMIFS(esp_viajes,rubro_viajes,"Pasajes",Año_viajes,"2027")</f>
        <v>0</v>
      </c>
      <c r="G11" s="147">
        <f>SUMIFS(ot_efe_via,rubro_viajes,"Pasajes",Año_viajes,"2026")</f>
        <v>0</v>
      </c>
      <c r="H11" s="148">
        <f>SUMIFS(ot_es_viaj,rubro_viajes,"Pasajes",Año_viajes,"2026")</f>
        <v>0</v>
      </c>
      <c r="I11" s="147">
        <f>SUMIFS(ot_efe_via,rubro_viajes,"Pasajes",Año_viajes,"2027")</f>
        <v>0</v>
      </c>
      <c r="J11" s="148">
        <f>SUMIFS(ot_es_viaj,rubro_viajes,"Pasajes",Año_viajes,"2027")</f>
        <v>0</v>
      </c>
      <c r="K11" s="140">
        <f t="shared" si="0"/>
        <v>0</v>
      </c>
      <c r="L11" s="5"/>
      <c r="M11" s="5"/>
      <c r="N11" s="5"/>
      <c r="O11" s="53" t="s">
        <v>142</v>
      </c>
    </row>
    <row r="12" spans="1:15" ht="15" customHeight="1" x14ac:dyDescent="0.35">
      <c r="A12" s="167">
        <v>6</v>
      </c>
      <c r="B12" s="112" t="s">
        <v>143</v>
      </c>
      <c r="C12" s="147">
        <f>SUMIFS(ef_viajes,rubro_viajes,"Viáticos",Año_viajes,"2026")</f>
        <v>0</v>
      </c>
      <c r="D12" s="147">
        <f>SUMIFS(esp_viajes,rubro_viajes,"Viáticos",Año_viajes,"2026")</f>
        <v>0</v>
      </c>
      <c r="E12" s="147">
        <f>SUMIFS(ef_viajes,rubro_viajes,"Viáticos",Año_viajes,"2027")</f>
        <v>0</v>
      </c>
      <c r="F12" s="147">
        <f>SUMIFS(esp_viajes,rubro_viajes,"Viáticos",Año_viajes,"2027")</f>
        <v>0</v>
      </c>
      <c r="G12" s="147">
        <f>SUMIFS(ot_efe_via,rubro_viajes,"Viáticos",Año_viajes,"2026")</f>
        <v>0</v>
      </c>
      <c r="H12" s="148">
        <f>SUMIFS(ot_es_viaj,rubro_viajes,"Viáticos",Año_viajes,"2026")</f>
        <v>0</v>
      </c>
      <c r="I12" s="147">
        <f>SUMIFS(ot_efe_via,rubro_viajes,"Viáticos",Año_viajes,"2027")</f>
        <v>0</v>
      </c>
      <c r="J12" s="148">
        <f>SUMIFS(ot_es_viaj,rubro_viajes,"Viáticos",Año_viajes,"2027")</f>
        <v>0</v>
      </c>
      <c r="K12" s="140">
        <f t="shared" si="0"/>
        <v>0</v>
      </c>
    </row>
    <row r="13" spans="1:15" ht="15" customHeight="1" x14ac:dyDescent="0.35">
      <c r="A13" s="167">
        <v>7</v>
      </c>
      <c r="B13" s="1" t="s">
        <v>144</v>
      </c>
      <c r="C13" s="147">
        <f>SUMIFS(ef_viajes,rubro_viajes,"Gastos de viaje",Año_viajes,"2026")</f>
        <v>0</v>
      </c>
      <c r="D13" s="147">
        <f>SUMIFS(esp_viajes,rubro_viajes,"Gastos de viaje",Año_viajes,"2026")</f>
        <v>0</v>
      </c>
      <c r="E13" s="147">
        <f>SUMIFS(ef_viajes,rubro_viajes,"Gastos de viaje",Año_viajes,"2027")</f>
        <v>0</v>
      </c>
      <c r="F13" s="147">
        <f>SUMIFS(esp_viajes,rubro_viajes,"Gastos de viaje",Año_viajes,"2027")</f>
        <v>0</v>
      </c>
      <c r="G13" s="147">
        <f>SUMIFS(ot_efe_via,rubro_viajes,"Gastos de viaje",Año_viajes,"2026")</f>
        <v>0</v>
      </c>
      <c r="H13" s="148">
        <f>SUMIFS(ot_es_viaj,rubro_viajes,"Gastos de viaje",Año_viajes,"2026")</f>
        <v>0</v>
      </c>
      <c r="I13" s="147">
        <f>SUMIFS(ot_efe_via,rubro_viajes,"Gastos de viaje",Año_viajes,"2027")</f>
        <v>0</v>
      </c>
      <c r="J13" s="148">
        <f>SUMIFS(ot_es_viaj,rubro_viajes,"Gastos de viaje",Año_viajes,"2027")</f>
        <v>0</v>
      </c>
      <c r="K13" s="140">
        <f t="shared" si="0"/>
        <v>0</v>
      </c>
    </row>
    <row r="14" spans="1:15" ht="15" customHeight="1" x14ac:dyDescent="0.35">
      <c r="A14" s="167">
        <v>8</v>
      </c>
      <c r="B14" s="1" t="s">
        <v>145</v>
      </c>
      <c r="C14" s="147">
        <f>SUMIFS(Efe_equipo,rubro_compra,"Equipos de laboratorio",Año_equipos,"2026")</f>
        <v>0</v>
      </c>
      <c r="D14" s="147">
        <f>SUMIFS(espec_equi,rubro_compra,"Equipos de laboratorio",Año_equipos,"2026")</f>
        <v>0</v>
      </c>
      <c r="E14" s="147">
        <f>SUMIFS(Efe_equipo,rubro_compra,"Equipos de laboratorio",Año_equipos,"2027")</f>
        <v>0</v>
      </c>
      <c r="F14" s="147">
        <f>SUMIFS(espec_equi,rubro_compra,"Equipos de laboratorio",Año_equipos,"2027")</f>
        <v>0</v>
      </c>
      <c r="G14" s="147">
        <f>SUMIFS(otr_efe_equ,rubro_compra,"Equipos de laboratorio",Año_equipos,"2026")</f>
        <v>0</v>
      </c>
      <c r="H14" s="148">
        <f>SUMIFS(otr_es_equ,rubro_compra,"Equipos de laboratorio",Año_equipos,"2026")</f>
        <v>0</v>
      </c>
      <c r="I14" s="147">
        <f>SUMIFS(otr_efe_equ,rubro_compra,"Equipos de laboratorio",Año_equipos,"2027")</f>
        <v>0</v>
      </c>
      <c r="J14" s="148">
        <f>SUMIFS(otr_es_equ,rubro_compra,"Equipos de laboratorio",Año_equipos,"2027")</f>
        <v>0</v>
      </c>
      <c r="K14" s="140">
        <f t="shared" si="0"/>
        <v>0</v>
      </c>
    </row>
    <row r="15" spans="1:15" ht="15" customHeight="1" x14ac:dyDescent="0.35">
      <c r="A15" s="167">
        <v>9</v>
      </c>
      <c r="B15" s="1" t="s">
        <v>146</v>
      </c>
      <c r="C15" s="147">
        <f>SUMIFS(Efe_equipo,rubro_compra,"Maquinaria",Año_equipos,"2026")</f>
        <v>0</v>
      </c>
      <c r="D15" s="147">
        <f>SUMIFS(espec_equi,rubro_compra,"Maquinaria",Año_equipos,"2026")</f>
        <v>0</v>
      </c>
      <c r="E15" s="147">
        <f>SUMIFS(Efe_equipo,rubro_compra,"Maquinaria",Año_equipos,"2027")</f>
        <v>0</v>
      </c>
      <c r="F15" s="147">
        <f>SUMIFS(espec_equi,rubro_compra,"Maquinaria",Año_equipos,"2027")</f>
        <v>0</v>
      </c>
      <c r="G15" s="147">
        <f>SUMIFS(otr_efe_equ,rubro_compra,"Maquinaria",Año_equipos,"2026")</f>
        <v>0</v>
      </c>
      <c r="H15" s="148">
        <f>SUMIFS(otr_es_equ,rubro_compra,"Maquinaria",Año_equipos,"2026")</f>
        <v>0</v>
      </c>
      <c r="I15" s="147">
        <f>SUMIFS(otr_efe_equ,rubro_compra,"Maquinaria",Año_equipos,"2027")</f>
        <v>0</v>
      </c>
      <c r="J15" s="148">
        <f>SUMIFS(otr_es_equ,rubro_compra,"Maquinaria",Año_equipos,"2027")</f>
        <v>0</v>
      </c>
      <c r="K15" s="140">
        <f t="shared" si="0"/>
        <v>0</v>
      </c>
    </row>
    <row r="16" spans="1:15" ht="15" customHeight="1" x14ac:dyDescent="0.35">
      <c r="A16" s="167">
        <v>10</v>
      </c>
      <c r="B16" s="1" t="s">
        <v>147</v>
      </c>
      <c r="C16" s="147">
        <f>SUMIF(Año_prácticas,"2026",efec_practicas)</f>
        <v>0</v>
      </c>
      <c r="D16" s="147">
        <f>SUMIF(Año_prácticas,"2026",esp_pract)</f>
        <v>0</v>
      </c>
      <c r="E16" s="147">
        <f>SUMIF(Año_prácticas,"2027",efec_practicas)</f>
        <v>0</v>
      </c>
      <c r="F16" s="147">
        <f>SUMIF(Año_prácticas,"2027",esp_pract)</f>
        <v>0</v>
      </c>
      <c r="G16" s="147">
        <f>SUMIF(Año_prácticas,"2026",otr_efec_prac)</f>
        <v>0</v>
      </c>
      <c r="H16" s="148">
        <f>SUMIF(Año_prácticas,"2026",ot_es_prac)</f>
        <v>0</v>
      </c>
      <c r="I16" s="147">
        <f>SUMIF(Año_prácticas,"2027",otr_efec_prac)</f>
        <v>0</v>
      </c>
      <c r="J16" s="148">
        <f>SUMIF(Año_prácticas,"2027",ot_es_prac)</f>
        <v>0</v>
      </c>
      <c r="K16" s="140">
        <f t="shared" si="0"/>
        <v>0</v>
      </c>
    </row>
    <row r="17" spans="1:11" ht="15" customHeight="1" x14ac:dyDescent="0.35">
      <c r="A17" s="167">
        <v>11</v>
      </c>
      <c r="B17" s="1" t="s">
        <v>148</v>
      </c>
      <c r="C17" s="147">
        <f>SUMIF(Año_reparar,"2026",efec_reparar)</f>
        <v>0</v>
      </c>
      <c r="D17" s="147">
        <f>SUMIF(Año_reparar,"2026",esp_reparar)</f>
        <v>0</v>
      </c>
      <c r="E17" s="147">
        <f>SUMIF(Año_reparar,"2027",efec_reparar)</f>
        <v>0</v>
      </c>
      <c r="F17" s="147">
        <f>SUMIF(Año_reparar,"2027",esp_reparar)</f>
        <v>0</v>
      </c>
      <c r="G17" s="147">
        <f>SUMIF(Año_reparar,"2026",otr_efec_repara)</f>
        <v>0</v>
      </c>
      <c r="H17" s="148">
        <f>SUMIF(Año_reparar,"2026",otr_esp_repa)</f>
        <v>0</v>
      </c>
      <c r="I17" s="147">
        <f>SUMIF(Año_reparar,"2027",otr_efec_repara)</f>
        <v>0</v>
      </c>
      <c r="J17" s="148">
        <f>SUMIF(Año_reparar,"2027",otr_esp_repa)</f>
        <v>0</v>
      </c>
      <c r="K17" s="140">
        <f t="shared" si="0"/>
        <v>0</v>
      </c>
    </row>
    <row r="18" spans="1:11" ht="15" customHeight="1" x14ac:dyDescent="0.35">
      <c r="A18" s="167">
        <v>12</v>
      </c>
      <c r="B18" s="112" t="s">
        <v>149</v>
      </c>
      <c r="C18" s="147">
        <f>SUMIF(Año_reactivos,"2026",efec_reacti)</f>
        <v>0</v>
      </c>
      <c r="D18" s="147">
        <f>SUMIF(Año_reactivos,"2026",esp_react)</f>
        <v>0</v>
      </c>
      <c r="E18" s="147">
        <f>SUMIF(Año_reactivos,"2027",efec_reacti)</f>
        <v>0</v>
      </c>
      <c r="F18" s="147">
        <f>SUMIF(Año_reactivos,"2027",esp_react)</f>
        <v>0</v>
      </c>
      <c r="G18" s="147">
        <f>SUMIF(Año_reactivos,"2026",otra_efec_react)</f>
        <v>0</v>
      </c>
      <c r="H18" s="148">
        <f>SUMIF(Año_reactivos,"2026",otra_esp_reac)</f>
        <v>0</v>
      </c>
      <c r="I18" s="147">
        <f>SUMIF(Año_reactivos,"2027",otra_efec_react)</f>
        <v>0</v>
      </c>
      <c r="J18" s="148">
        <f>SUMIF(Año_reactivos,"2027",otra_esp_reac)</f>
        <v>0</v>
      </c>
      <c r="K18" s="140">
        <f t="shared" si="0"/>
        <v>0</v>
      </c>
    </row>
    <row r="19" spans="1:11" ht="15" customHeight="1" x14ac:dyDescent="0.35">
      <c r="A19" s="167">
        <v>13</v>
      </c>
      <c r="B19" s="112" t="s">
        <v>150</v>
      </c>
      <c r="C19" s="147">
        <f>SUMIF(Año_licencias,"2026",efec_licen)</f>
        <v>0</v>
      </c>
      <c r="D19" s="147">
        <f>SUMIF(Año_licencias,"2026",esp_licenc)</f>
        <v>0</v>
      </c>
      <c r="E19" s="147">
        <f>SUMIF(Año_licencias,"2027",efec_licen)</f>
        <v>0</v>
      </c>
      <c r="F19" s="147">
        <f>SUMIF(Año_licencias,"2027",esp_licenc)</f>
        <v>0</v>
      </c>
      <c r="G19" s="147">
        <f>SUMIF(Año_licencias,"2026",ot_efec_lice)</f>
        <v>0</v>
      </c>
      <c r="H19" s="148">
        <f>SUMIF(Año_licencias,"2026",ot_es_lice)</f>
        <v>0</v>
      </c>
      <c r="I19" s="147">
        <f>SUMIF(Año_licencias,"2027",ot_efec_lice)</f>
        <v>0</v>
      </c>
      <c r="J19" s="148">
        <f>SUMIF(Año_licencias,"2027",ot_es_lice)</f>
        <v>0</v>
      </c>
      <c r="K19" s="140">
        <f t="shared" si="0"/>
        <v>0</v>
      </c>
    </row>
    <row r="20" spans="1:11" ht="15" customHeight="1" x14ac:dyDescent="0.35">
      <c r="A20" s="167">
        <v>14</v>
      </c>
      <c r="B20" s="112" t="s">
        <v>151</v>
      </c>
      <c r="C20" s="147">
        <f>SUMIF(Año_papelería,"2026",efec_papel)</f>
        <v>0</v>
      </c>
      <c r="D20" s="147">
        <f>SUMIF(Año_papelería,"2026",espe_papel)</f>
        <v>0</v>
      </c>
      <c r="E20" s="147">
        <f>SUMIF(Año_papelería,"2027",efec_papel)</f>
        <v>0</v>
      </c>
      <c r="F20" s="147">
        <f>SUMIF(Año_papelería,"2027",espe_papel)</f>
        <v>0</v>
      </c>
      <c r="G20" s="147">
        <f>SUMIF(Año_papelería,"2026",ot_efec_pape)</f>
        <v>0</v>
      </c>
      <c r="H20" s="148">
        <f>SUMIF(Año_papelería,"2026",ot_esp_papel)</f>
        <v>0</v>
      </c>
      <c r="I20" s="147">
        <f>SUMIF(Año_papelería,"2027",ot_efec_pape)</f>
        <v>0</v>
      </c>
      <c r="J20" s="148">
        <f>SUMIF(Año_papelería,"2027",ot_esp_papel)</f>
        <v>0</v>
      </c>
      <c r="K20" s="140">
        <f t="shared" si="0"/>
        <v>0</v>
      </c>
    </row>
    <row r="21" spans="1:11" x14ac:dyDescent="0.35">
      <c r="A21" s="167">
        <v>15</v>
      </c>
      <c r="B21" s="113" t="s">
        <v>152</v>
      </c>
      <c r="C21" s="147">
        <f>SUMIF(Año_libros,"2026",efec_libros)</f>
        <v>0</v>
      </c>
      <c r="D21" s="147">
        <f>SUMIF(Año_libros,"2026",esp_libr)</f>
        <v>0</v>
      </c>
      <c r="E21" s="147">
        <f>SUMIF(Año_libros,"2027",efec_libros)</f>
        <v>0</v>
      </c>
      <c r="F21" s="147">
        <f>SUMIF(Año_libros,"2027",esp_libr)</f>
        <v>0</v>
      </c>
      <c r="G21" s="147">
        <f>SUMIF(Año_libros,"2026",otr_efec_libro)</f>
        <v>0</v>
      </c>
      <c r="H21" s="148">
        <f>SUMIF(Año_libros,"2026",otr_esp_libro)</f>
        <v>0</v>
      </c>
      <c r="I21" s="147">
        <f>SUMIF(Año_libros,"2027",otr_efec_libro)</f>
        <v>0</v>
      </c>
      <c r="J21" s="148">
        <f>SUMIF(Año_libros,"2027",otr_esp_libro)</f>
        <v>0</v>
      </c>
      <c r="K21" s="140">
        <f t="shared" si="0"/>
        <v>0</v>
      </c>
    </row>
    <row r="22" spans="1:11" x14ac:dyDescent="0.35">
      <c r="A22" s="167">
        <v>16</v>
      </c>
      <c r="B22" s="113" t="s">
        <v>153</v>
      </c>
      <c r="C22" s="147">
        <f>SUMIFS(otrosefec_uis,otrosrubrosfi,"Equipo audiovisual",Año_otrosrubros,"2026")</f>
        <v>0</v>
      </c>
      <c r="D22" s="149">
        <f>SUMIFS(otro_es_UIS,otrosrubrosfi,"Equipo audiovisual",Año_otrosrubros,"2026")</f>
        <v>0</v>
      </c>
      <c r="E22" s="147">
        <f>SUMIFS(otrosefec_uis,otrosrubrosfi,"Equipo audiovisual",Año_otrosrubros,"2027")</f>
        <v>0</v>
      </c>
      <c r="F22" s="149">
        <f>SUMIFS(otro_es_UIS,otrosrubrosfi,"Equipo audiovisual",Año_otrosrubros,"2027")</f>
        <v>0</v>
      </c>
      <c r="G22" s="147">
        <f>SUMIFS(otr_efec_otr,otrosrubrosfi,"Equipo audiovisual",Año_otrosrubros,"2026")</f>
        <v>0</v>
      </c>
      <c r="H22" s="150">
        <f>SUMIFS(Otro_Es_otro,otrosrubrosfi,"Equipo audiovisual",Año_otrosrubros,"2026")</f>
        <v>0</v>
      </c>
      <c r="I22" s="147">
        <f>SUMIFS(otr_efec_otr,otrosrubrosfi,"Equipo audiovisual",Año_otrosrubros,"2027")</f>
        <v>0</v>
      </c>
      <c r="J22" s="150">
        <f>SUMIFS(Otro_Es_otro,otrosrubrosfi,"Equipo audiovisual",Año_otrosrubros,"2027")</f>
        <v>0</v>
      </c>
      <c r="K22" s="140">
        <f t="shared" si="0"/>
        <v>0</v>
      </c>
    </row>
    <row r="23" spans="1:11" x14ac:dyDescent="0.35">
      <c r="A23" s="167">
        <v>17</v>
      </c>
      <c r="B23" s="113" t="s">
        <v>154</v>
      </c>
      <c r="C23" s="147">
        <f>SUMIFS(otrosefec_uis,otrosrubrosfi,"Equipo de oficina",Año_otrosrubros,"2026")</f>
        <v>0</v>
      </c>
      <c r="D23" s="149">
        <f>SUMIFS(otro_es_UIS,otrosrubrosfi,"Equipo de oficina",Año_otrosrubros,"2026")</f>
        <v>0</v>
      </c>
      <c r="E23" s="147">
        <f>SUMIFS(otrosefec_uis,otrosrubrosfi,"Equipo de oficina",Año_otrosrubros,"2027")</f>
        <v>0</v>
      </c>
      <c r="F23" s="149">
        <f>SUMIFS(otro_es_UIS,otrosrubrosfi,"Equipo de oficina",Año_otrosrubros,"2027")</f>
        <v>0</v>
      </c>
      <c r="G23" s="147">
        <f>SUMIFS(otr_efec_otr,otrosrubrosfi,"Equipo de oficina",Año_otrosrubros,"2026")</f>
        <v>0</v>
      </c>
      <c r="H23" s="150">
        <f>SUMIFS(Otro_Es_otro,otrosrubrosfi,"Equipo de oficina",Año_otrosrubros,"2026")</f>
        <v>0</v>
      </c>
      <c r="I23" s="147">
        <f>SUMIFS(otr_efec_otr,otrosrubrosfi,"Equipo de oficina",Año_otrosrubros,"2027")</f>
        <v>0</v>
      </c>
      <c r="J23" s="150">
        <f>SUMIFS(Otro_Es_otro,otrosrubrosfi,"Equipo de oficina",Año_otrosrubros,"2027")</f>
        <v>0</v>
      </c>
      <c r="K23" s="140">
        <f t="shared" si="0"/>
        <v>0</v>
      </c>
    </row>
    <row r="24" spans="1:11" x14ac:dyDescent="0.35">
      <c r="A24" s="167">
        <v>18</v>
      </c>
      <c r="B24" s="113" t="s">
        <v>155</v>
      </c>
      <c r="C24" s="147">
        <f>SUMIFS(otrosefec_uis,otrosrubrosfi,"Equipo de cómputo",Año_otrosrubros,"2026")</f>
        <v>0</v>
      </c>
      <c r="D24" s="149">
        <f>SUMIFS(otro_es_UIS,otrosrubrosfi,"Equipo de cómputo",Año_otrosrubros,"2026")</f>
        <v>0</v>
      </c>
      <c r="E24" s="147">
        <f>SUMIFS(otrosefec_uis,otrosrubrosfi,"Equipo de cómputo",Año_otrosrubros,"2027")</f>
        <v>0</v>
      </c>
      <c r="F24" s="149">
        <f>SUMIFS(otro_es_UIS,otrosrubrosfi,"Equipo de cómputo",Año_otrosrubros,"2027")</f>
        <v>0</v>
      </c>
      <c r="G24" s="147">
        <f>SUMIFS(otr_efec_otr,otrosrubrosfi,"Equipo de cómputo",Año_otrosrubros,"2026")</f>
        <v>0</v>
      </c>
      <c r="H24" s="150">
        <f>SUMIFS(Otro_Es_otro,otrosrubrosfi,"Equipo de cómputo",Año_otrosrubros,"2026")</f>
        <v>0</v>
      </c>
      <c r="I24" s="147">
        <f>SUMIFS(otr_efec_otr,otrosrubrosfi,"Equipo de cómputo",Año_otrosrubros,"2027")</f>
        <v>0</v>
      </c>
      <c r="J24" s="150">
        <f>SUMIFS(Otro_Es_otro,otrosrubrosfi,"Equipo de cómputo",Año_otrosrubros,"2027")</f>
        <v>0</v>
      </c>
      <c r="K24" s="140">
        <f t="shared" si="0"/>
        <v>0</v>
      </c>
    </row>
    <row r="25" spans="1:11" x14ac:dyDescent="0.35">
      <c r="A25" s="167">
        <v>19</v>
      </c>
      <c r="B25" s="113" t="s">
        <v>156</v>
      </c>
      <c r="C25" s="147">
        <f>SUMIFS(otrosefec_uis,otrosrubrosfi,"Muebles y enseres",Año_otrosrubros,"2026")</f>
        <v>0</v>
      </c>
      <c r="D25" s="149">
        <f>SUMIFS(otro_es_UIS,otrosrubrosfi,"Muebles y enseres",Año_otrosrubros,"2026")</f>
        <v>0</v>
      </c>
      <c r="E25" s="147">
        <f>SUMIFS(otrosefec_uis,otrosrubrosfi,"Muebles y enseres",Año_otrosrubros,"2027")</f>
        <v>0</v>
      </c>
      <c r="F25" s="149">
        <f>SUMIFS(otro_es_UIS,otrosrubrosfi,"Muebles y enseres",Año_otrosrubros,"2027")</f>
        <v>0</v>
      </c>
      <c r="G25" s="147">
        <f>SUMIFS(otr_efec_otr,otrosrubrosfi,"Muebles y enseres",Año_otrosrubros,"2026")</f>
        <v>0</v>
      </c>
      <c r="H25" s="150">
        <f>SUMIFS(Otro_Es_otro,otrosrubrosfi,"Muebles y enseres",Año_otrosrubros,"2026")</f>
        <v>0</v>
      </c>
      <c r="I25" s="147">
        <f>SUMIFS(otr_efec_otr,otrosrubrosfi,"Muebles y enseres",Año_otrosrubros,"2027")</f>
        <v>0</v>
      </c>
      <c r="J25" s="150">
        <f>SUMIFS(Otro_Es_otro,otrosrubrosfi,"Muebles y enseres",Año_otrosrubros,"2027")</f>
        <v>0</v>
      </c>
      <c r="K25" s="140">
        <f t="shared" si="0"/>
        <v>0</v>
      </c>
    </row>
    <row r="26" spans="1:11" x14ac:dyDescent="0.35">
      <c r="A26" s="167">
        <v>20</v>
      </c>
      <c r="B26" s="113" t="s">
        <v>157</v>
      </c>
      <c r="C26" s="147">
        <f>SUMIFS(otrosefec_uis,otrosrubrosfi,"Elementos de laboratorio",Año_otrosrubros,"2026")</f>
        <v>0</v>
      </c>
      <c r="D26" s="149">
        <f>SUMIFS(otro_es_UIS,otrosrubrosfi,"Elementos de laboratorio",Año_otrosrubros,"2026")</f>
        <v>0</v>
      </c>
      <c r="E26" s="147">
        <f>SUMIFS(otrosefec_uis,otrosrubrosfi,"Elementos de laboratorio",Año_otrosrubros,"2027")</f>
        <v>0</v>
      </c>
      <c r="F26" s="149">
        <f>SUMIFS(otro_es_UIS,otrosrubrosfi,"Elementos de laboratorio",Año_otrosrubros,"2027")</f>
        <v>0</v>
      </c>
      <c r="G26" s="147">
        <f>SUMIFS(otr_efec_otr,otrosrubrosfi,"Elementos de laboratorio",Año_otrosrubros,"2026")</f>
        <v>0</v>
      </c>
      <c r="H26" s="150">
        <f>SUMIFS(Otro_Es_otro,otrosrubrosfi,"Elementos de laboratorio",Año_otrosrubros,"2026")</f>
        <v>0</v>
      </c>
      <c r="I26" s="147">
        <f>SUMIFS(otr_efec_otr,otrosrubrosfi,"Elementos de laboratorio",Año_otrosrubros,"2027")</f>
        <v>0</v>
      </c>
      <c r="J26" s="150">
        <f>SUMIFS(Otro_Es_otro,otrosrubrosfi,"Elementos de laboratorio",Año_otrosrubros,"2027")</f>
        <v>0</v>
      </c>
      <c r="K26" s="140">
        <f t="shared" si="0"/>
        <v>0</v>
      </c>
    </row>
    <row r="27" spans="1:11" x14ac:dyDescent="0.35">
      <c r="A27" s="167">
        <v>21</v>
      </c>
      <c r="B27" s="113" t="s">
        <v>158</v>
      </c>
      <c r="C27" s="147">
        <f>SUMIFS(otrosefec_uis,otrosrubrosfi,"Herramientas",Año_otrosrubros,"2026")</f>
        <v>0</v>
      </c>
      <c r="D27" s="149">
        <f>SUMIFS(otro_es_UIS,otrosrubrosfi,"Herramientas",Año_otrosrubros,"2026")</f>
        <v>0</v>
      </c>
      <c r="E27" s="147">
        <f>SUMIFS(otrosefec_uis,otrosrubrosfi,"Herramientas",Año_otrosrubros,"2027")</f>
        <v>0</v>
      </c>
      <c r="F27" s="149">
        <f>SUMIFS(otro_es_UIS,otrosrubrosfi,"Herramientas",Año_otrosrubros,"2027")</f>
        <v>0</v>
      </c>
      <c r="G27" s="147">
        <f>SUMIFS(otr_efec_otr,otrosrubrosfi,"Herramientas",Año_otrosrubros,"2026")</f>
        <v>0</v>
      </c>
      <c r="H27" s="150">
        <f>SUMIFS(Otro_Es_otro,otrosrubrosfi,"Herramientas",Año_otrosrubros,"2026")</f>
        <v>0</v>
      </c>
      <c r="I27" s="147">
        <f>SUMIFS(otr_efec_otr,otrosrubrosfi,"Herramientas",Año_otrosrubros,"2027")</f>
        <v>0</v>
      </c>
      <c r="J27" s="150">
        <f>SUMIFS(Otro_Es_otro,otrosrubrosfi,"Herramientas",Año_otrosrubros,"2027")</f>
        <v>0</v>
      </c>
      <c r="K27" s="140">
        <f t="shared" si="0"/>
        <v>0</v>
      </c>
    </row>
    <row r="28" spans="1:11" x14ac:dyDescent="0.35">
      <c r="A28" s="167">
        <v>22</v>
      </c>
      <c r="B28" s="113" t="s">
        <v>159</v>
      </c>
      <c r="C28" s="147">
        <f>SUMIFS(otrosefec_uis,otrosrubrosfi,"Montaje e instalaciones",Año_otrosrubros,"2026")</f>
        <v>0</v>
      </c>
      <c r="D28" s="149">
        <f>SUMIFS(otro_es_UIS,otrosrubrosfi,"Montaje e instalaciones",Año_otrosrubros,"2026")</f>
        <v>0</v>
      </c>
      <c r="E28" s="147">
        <f>SUMIFS(otrosefec_uis,otrosrubrosfi,"Montaje e instalaciones",Año_otrosrubros,"2027")</f>
        <v>0</v>
      </c>
      <c r="F28" s="149">
        <f>SUMIFS(otro_es_UIS,otrosrubrosfi,"Montaje e instalaciones",Año_otrosrubros,"2027")</f>
        <v>0</v>
      </c>
      <c r="G28" s="147">
        <f>SUMIFS(otr_efec_otr,otrosrubrosfi,"Montaje e instalaciones",Año_otrosrubros,"2026")</f>
        <v>0</v>
      </c>
      <c r="H28" s="150">
        <f>SUMIFS(Otro_Es_otro,otrosrubrosfi,"Montaje e instalaciones",Año_otrosrubros,"2026")</f>
        <v>0</v>
      </c>
      <c r="I28" s="147">
        <f>SUMIFS(otr_efec_otr,otrosrubrosfi,"Montaje e instalaciones",Año_otrosrubros,"2027")</f>
        <v>0</v>
      </c>
      <c r="J28" s="150">
        <f>SUMIFS(Otro_Es_otro,otrosrubrosfi,"Montaje e instalaciones",Año_otrosrubros,"2027")</f>
        <v>0</v>
      </c>
      <c r="K28" s="140">
        <f t="shared" si="0"/>
        <v>0</v>
      </c>
    </row>
    <row r="29" spans="1:11" x14ac:dyDescent="0.35">
      <c r="A29" s="167">
        <v>23</v>
      </c>
      <c r="B29" s="113" t="s">
        <v>160</v>
      </c>
      <c r="C29" s="147">
        <f>SUMIFS(otrosefec_uis,otrosrubrosfi,"Adecuaciones",Año_otrosrubros,"2026")</f>
        <v>0</v>
      </c>
      <c r="D29" s="149">
        <f>SUMIFS(otro_es_UIS,otrosrubrosfi,"Adecuaciones",Año_otrosrubros,"2026")</f>
        <v>0</v>
      </c>
      <c r="E29" s="147">
        <f>SUMIFS(otrosefec_uis,otrosrubrosfi,"Adecuaciones",Año_otrosrubros,"2027")</f>
        <v>0</v>
      </c>
      <c r="F29" s="149">
        <f>SUMIFS(otro_es_UIS,otrosrubrosfi,"Adecuaciones",Año_otrosrubros,"2027")</f>
        <v>0</v>
      </c>
      <c r="G29" s="147">
        <f>SUMIFS(otr_efec_otr,otrosrubrosfi,"Adecuaciones",Año_otrosrubros,"2026")</f>
        <v>0</v>
      </c>
      <c r="H29" s="150">
        <f>SUMIFS(Otro_Es_otro,otrosrubrosfi,"Adecuaciones",Año_otrosrubros,"2026")</f>
        <v>0</v>
      </c>
      <c r="I29" s="147">
        <f>SUMIFS(otr_efec_otr,otrosrubrosfi,"Adecuaciones",Año_otrosrubros,"2027")</f>
        <v>0</v>
      </c>
      <c r="J29" s="150">
        <f>SUMIFS(Otro_Es_otro,otrosrubrosfi,"Adecuaciones",Año_otrosrubros,"2027")</f>
        <v>0</v>
      </c>
      <c r="K29" s="140">
        <f t="shared" si="0"/>
        <v>0</v>
      </c>
    </row>
    <row r="30" spans="1:11" x14ac:dyDescent="0.35">
      <c r="A30" s="167">
        <v>24</v>
      </c>
      <c r="B30" s="113" t="s">
        <v>161</v>
      </c>
      <c r="C30" s="147">
        <f>SUMIFS(otrosefec_uis,otrosrubrosfi,"Arrendamientos",Año_otrosrubros,"2026")</f>
        <v>0</v>
      </c>
      <c r="D30" s="149">
        <f>SUMIFS(otro_es_UIS,otrosrubrosfi,"Arrendamientos",Año_otrosrubros,"2026")</f>
        <v>0</v>
      </c>
      <c r="E30" s="147">
        <f>SUMIFS(otrosefec_uis,otrosrubrosfi,"Arrendamientos",Año_otrosrubros,"2027")</f>
        <v>0</v>
      </c>
      <c r="F30" s="149">
        <f>SUMIFS(otro_es_UIS,otrosrubrosfi,"Arrendamientos",Año_otrosrubros,"2027")</f>
        <v>0</v>
      </c>
      <c r="G30" s="147">
        <f>SUMIFS(otr_efec_otr,otrosrubrosfi,"Arrendamientos",Año_otrosrubros,"2026")</f>
        <v>0</v>
      </c>
      <c r="H30" s="150">
        <f>SUMIFS(Otro_Es_otro,otrosrubrosfi,"Arrendamientos",Año_otrosrubros,"2026")</f>
        <v>0</v>
      </c>
      <c r="I30" s="147">
        <f>SUMIFS(otr_efec_otr,otrosrubrosfi,"Arrendamientos",Año_otrosrubros,"2027")</f>
        <v>0</v>
      </c>
      <c r="J30" s="150">
        <f>SUMIFS(Otro_Es_otro,otrosrubrosfi,"Arrendamientos",Año_otrosrubros,"2027")</f>
        <v>0</v>
      </c>
      <c r="K30" s="140">
        <f t="shared" si="0"/>
        <v>0</v>
      </c>
    </row>
    <row r="31" spans="1:11" x14ac:dyDescent="0.35">
      <c r="A31" s="167">
        <v>25</v>
      </c>
      <c r="B31" s="113" t="s">
        <v>162</v>
      </c>
      <c r="C31" s="147">
        <f>SUMIFS(otrosefec_uis,otrosrubrosfi,"Seguros",Año_otrosrubros,"2026")</f>
        <v>0</v>
      </c>
      <c r="D31" s="149">
        <f>SUMIFS(otro_es_UIS,otrosrubrosfi,"Seguros",Año_otrosrubros,"2026")</f>
        <v>0</v>
      </c>
      <c r="E31" s="147">
        <f>SUMIFS(otrosefec_uis,otrosrubrosfi,"Seguros",Año_otrosrubros,"2027")</f>
        <v>0</v>
      </c>
      <c r="F31" s="149">
        <f>SUMIFS(otro_es_UIS,otrosrubrosfi,"Seguros",Año_otrosrubros,"2027")</f>
        <v>0</v>
      </c>
      <c r="G31" s="147">
        <f>SUMIFS(otr_efec_otr,otrosrubrosfi,"Seguros",Año_otrosrubros,"2026")</f>
        <v>0</v>
      </c>
      <c r="H31" s="150">
        <f>SUMIFS(Otro_Es_otro,otrosrubrosfi,"Seguros",Año_otrosrubros,"2026")</f>
        <v>0</v>
      </c>
      <c r="I31" s="147">
        <f>SUMIFS(otr_efec_otr,otrosrubrosfi,"Seguros",Año_otrosrubros,"2027")</f>
        <v>0</v>
      </c>
      <c r="J31" s="150">
        <f>SUMIFS(Otro_Es_otro,otrosrubrosfi,"Seguros",Año_otrosrubros,"2027")</f>
        <v>0</v>
      </c>
      <c r="K31" s="140">
        <f t="shared" si="0"/>
        <v>0</v>
      </c>
    </row>
    <row r="32" spans="1:11" x14ac:dyDescent="0.35">
      <c r="A32" s="167">
        <v>26</v>
      </c>
      <c r="B32" s="113" t="s">
        <v>163</v>
      </c>
      <c r="C32" s="147">
        <f>SUMIFS(otrosefec_uis,otrosrubrosfi,"Capacitación de personal",Año_otrosrubros,"2026")</f>
        <v>0</v>
      </c>
      <c r="D32" s="149">
        <f>SUMIFS(otro_es_UIS,otrosrubrosfi,"Capacitación de personal",Año_otrosrubros,"2026")</f>
        <v>0</v>
      </c>
      <c r="E32" s="147">
        <f>SUMIFS(otrosefec_uis,otrosrubrosfi,"Capacitación de personal",Año_otrosrubros,"2027")</f>
        <v>0</v>
      </c>
      <c r="F32" s="149">
        <f>SUMIFS(otro_es_UIS,otrosrubrosfi,"Capacitación de personal",Año_otrosrubros,"2027")</f>
        <v>0</v>
      </c>
      <c r="G32" s="147">
        <f>SUMIFS(otr_efec_otr,otrosrubrosfi,"Capacitación de personal",Año_otrosrubros,"2026")</f>
        <v>0</v>
      </c>
      <c r="H32" s="150">
        <f>SUMIFS(Otro_Es_otro,otrosrubrosfi,"Capacitación de personal",Año_otrosrubros,"2026")</f>
        <v>0</v>
      </c>
      <c r="I32" s="147">
        <f>SUMIFS(otr_efec_otr,otrosrubrosfi,"Capacitación de personal",Año_otrosrubros,"2027")</f>
        <v>0</v>
      </c>
      <c r="J32" s="150">
        <f>SUMIFS(Otro_Es_otro,otrosrubrosfi,"Capacitación de personal",Año_otrosrubros,"2027")</f>
        <v>0</v>
      </c>
      <c r="K32" s="140">
        <f t="shared" si="0"/>
        <v>0</v>
      </c>
    </row>
    <row r="33" spans="1:11" x14ac:dyDescent="0.35">
      <c r="A33" s="167">
        <v>27</v>
      </c>
      <c r="B33" s="113" t="s">
        <v>164</v>
      </c>
      <c r="C33" s="147">
        <f>SUMIFS(otrosefec_uis,otrosrubrosfi,"Portes y fletes",Año_otrosrubros,"2026")</f>
        <v>0</v>
      </c>
      <c r="D33" s="149">
        <f>SUMIFS(otro_es_UIS,otrosrubrosfi,"Portes y fletes",Año_otrosrubros,"2026")</f>
        <v>0</v>
      </c>
      <c r="E33" s="147">
        <f>SUMIFS(otrosefec_uis,otrosrubrosfi,"Portes y fletes",Año_otrosrubros,"2027")</f>
        <v>0</v>
      </c>
      <c r="F33" s="149">
        <f>SUMIFS(otro_es_UIS,otrosrubrosfi,"Portes y fletes",Año_otrosrubros,"2027")</f>
        <v>0</v>
      </c>
      <c r="G33" s="147">
        <f>SUMIFS(otr_efec_otr,otrosrubrosfi,"Portes y fletes",Año_otrosrubros,"2026")</f>
        <v>0</v>
      </c>
      <c r="H33" s="150">
        <f>SUMIFS(Otro_Es_otro,otrosrubrosfi,"Portes y fletes",Año_otrosrubros,"2026")</f>
        <v>0</v>
      </c>
      <c r="I33" s="147">
        <f>SUMIFS(otr_efec_otr,otrosrubrosfi,"Portes y fletes",Año_otrosrubros,"2027")</f>
        <v>0</v>
      </c>
      <c r="J33" s="150">
        <f>SUMIFS(Otro_Es_otro,otrosrubrosfi,"Portes y fletes",Año_otrosrubros,"2027")</f>
        <v>0</v>
      </c>
      <c r="K33" s="140">
        <f t="shared" si="0"/>
        <v>0</v>
      </c>
    </row>
    <row r="34" spans="1:11" x14ac:dyDescent="0.35">
      <c r="A34" s="167">
        <v>28</v>
      </c>
      <c r="B34" s="113" t="s">
        <v>165</v>
      </c>
      <c r="C34" s="147">
        <f>SUMIFS(otrosefec_uis,otrosrubrosfi,"Acarreos",Año_otrosrubros,"2026")</f>
        <v>0</v>
      </c>
      <c r="D34" s="149">
        <f>SUMIFS(otro_es_UIS,otrosrubrosfi,"Acarreos",Año_otrosrubros,"2026")</f>
        <v>0</v>
      </c>
      <c r="E34" s="147">
        <f>SUMIFS(otrosefec_uis,otrosrubrosfi,"Acarreos",Año_otrosrubros,"2027")</f>
        <v>0</v>
      </c>
      <c r="F34" s="149">
        <f>SUMIFS(otro_es_UIS,otrosrubrosfi,"Acarreos",Año_otrosrubros,"2027")</f>
        <v>0</v>
      </c>
      <c r="G34" s="147">
        <f>SUMIFS(otr_efec_otr,otrosrubrosfi,"Acarreos",Año_otrosrubros,"2026")</f>
        <v>0</v>
      </c>
      <c r="H34" s="150">
        <f>SUMIFS(Otro_Es_otro,otrosrubrosfi,"Acarreos",Año_otrosrubros,"2026")</f>
        <v>0</v>
      </c>
      <c r="I34" s="147">
        <f>SUMIFS(otr_efec_otr,otrosrubrosfi,"Acarreos",Año_otrosrubros,"2027")</f>
        <v>0</v>
      </c>
      <c r="J34" s="150">
        <f>SUMIFS(Otro_Es_otro,otrosrubrosfi,"Acarreos",Año_otrosrubros,"2027")</f>
        <v>0</v>
      </c>
      <c r="K34" s="140">
        <f t="shared" si="0"/>
        <v>0</v>
      </c>
    </row>
    <row r="35" spans="1:11" x14ac:dyDescent="0.35">
      <c r="A35" s="167">
        <v>29</v>
      </c>
      <c r="B35" s="113" t="s">
        <v>166</v>
      </c>
      <c r="C35" s="147">
        <f>SUMIFS(otrosefec_uis,otrosrubrosfi,"Avisos e impresos",Año_otrosrubros,"2026")</f>
        <v>0</v>
      </c>
      <c r="D35" s="149">
        <f>SUMIFS(otro_es_UIS,otrosrubrosfi,"Avisos e impresos",Año_otrosrubros,"2026")</f>
        <v>0</v>
      </c>
      <c r="E35" s="147">
        <f>SUMIFS(otrosefec_uis,otrosrubrosfi,"Avisos e impresos",Año_otrosrubros,"2027")</f>
        <v>0</v>
      </c>
      <c r="F35" s="149">
        <f>SUMIFS(otro_es_UIS,otrosrubrosfi,"Avisos e impresos",Año_otrosrubros,"2027")</f>
        <v>0</v>
      </c>
      <c r="G35" s="147">
        <f>SUMIFS(otr_efec_otr,otrosrubrosfi,"Avisos e impresos",Año_otrosrubros,"2026")</f>
        <v>0</v>
      </c>
      <c r="H35" s="150">
        <f>SUMIFS(Otro_Es_otro,otrosrubrosfi,"Avisos e impresos",Año_otrosrubros,"2026")</f>
        <v>0</v>
      </c>
      <c r="I35" s="147">
        <f>SUMIFS(otr_efec_otr,otrosrubrosfi,"Avisos e impresos",Año_otrosrubros,"2027")</f>
        <v>0</v>
      </c>
      <c r="J35" s="150">
        <f>SUMIFS(Otro_Es_otro,otrosrubrosfi,"Avisos e impresos",Año_otrosrubros,"2027")</f>
        <v>0</v>
      </c>
      <c r="K35" s="140">
        <f t="shared" si="0"/>
        <v>0</v>
      </c>
    </row>
    <row r="36" spans="1:11" x14ac:dyDescent="0.35">
      <c r="A36" s="176">
        <v>30</v>
      </c>
      <c r="B36" s="113" t="s">
        <v>167</v>
      </c>
      <c r="C36" s="147">
        <f>SUMIFS(otrosefec_uis,otrosrubrosfi,"Semovientes",Año_otrosrubros,"2026")</f>
        <v>0</v>
      </c>
      <c r="D36" s="149">
        <f>SUMIFS(otro_es_UIS,otrosrubrosfi,"Semovientes",Año_otrosrubros,"2026")</f>
        <v>0</v>
      </c>
      <c r="E36" s="147">
        <f>SUMIFS(otrosefec_uis,otrosrubrosfi,"Semovientes",Año_otrosrubros,"2027")</f>
        <v>0</v>
      </c>
      <c r="F36" s="149">
        <f>SUMIFS(otro_es_UIS,otrosrubrosfi,"Semovientes",Año_otrosrubros,"2027")</f>
        <v>0</v>
      </c>
      <c r="G36" s="147">
        <f>SUMIFS(otr_efec_otr,otrosrubrosfi,"Semovientes",Año_otrosrubros,"2026")</f>
        <v>0</v>
      </c>
      <c r="H36" s="150">
        <f>SUMIFS(Otro_Es_otro,otrosrubrosfi,"Semovientes",Año_otrosrubros,"2026")</f>
        <v>0</v>
      </c>
      <c r="I36" s="147">
        <f>SUMIFS(otr_efec_otr,otrosrubrosfi,"Semovientes",Año_otrosrubros,"2027")</f>
        <v>0</v>
      </c>
      <c r="J36" s="150">
        <f>SUMIFS(Otro_Es_otro,otrosrubrosfi,"Semovientes",Año_otrosrubros,"2027")</f>
        <v>0</v>
      </c>
      <c r="K36" s="140">
        <f t="shared" si="0"/>
        <v>0</v>
      </c>
    </row>
    <row r="37" spans="1:11" ht="14.5" thickBot="1" x14ac:dyDescent="0.4">
      <c r="A37" s="168">
        <v>31</v>
      </c>
      <c r="B37" s="165" t="s">
        <v>168</v>
      </c>
      <c r="C37" s="156">
        <f>SUMIFS(otrosefec_uis,otrosrubrosfi,"Gastos de importación",Año_otrosrubros,"2026")</f>
        <v>0</v>
      </c>
      <c r="D37" s="156">
        <f>SUMIFS(otro_es_UIS,otrosrubrosfi,"Gastos de importación",Año_otrosrubros,"2026")</f>
        <v>0</v>
      </c>
      <c r="E37" s="156">
        <f>SUMIFS(otrosefec_uis,otrosrubrosfi,"Gastos de importación",Año_otrosrubros,"2027")</f>
        <v>0</v>
      </c>
      <c r="F37" s="156">
        <f>SUMIFS(otro_es_UIS,otrosrubrosfi,"Gastos de importación",Año_otrosrubros,"2027")</f>
        <v>0</v>
      </c>
      <c r="G37" s="156">
        <f>SUMIFS(otr_efec_otr,otrosrubrosfi,"Gastos de importación",Año_otrosrubros,"2026")</f>
        <v>0</v>
      </c>
      <c r="H37" s="166">
        <f>SUMIFS(Otro_Es_otro,otrosrubrosfi,"Gastos de importación",Año_otrosrubros,"2026")</f>
        <v>0</v>
      </c>
      <c r="I37" s="156">
        <f>SUMIFS(otr_efec_otr,otrosrubrosfi,"Gastos de importación",Año_otrosrubros,"2027")</f>
        <v>0</v>
      </c>
      <c r="J37" s="166">
        <f>SUMIFS(Otro_Es_otro,otrosrubrosfi,"Gastos de importación",Año_otrosrubros,"2027")</f>
        <v>0</v>
      </c>
      <c r="K37" s="140">
        <f t="shared" si="0"/>
        <v>0</v>
      </c>
    </row>
    <row r="38" spans="1:11" ht="14.5" thickBot="1" x14ac:dyDescent="0.4">
      <c r="A38" s="561" t="s">
        <v>80</v>
      </c>
      <c r="B38" s="562"/>
      <c r="C38" s="141">
        <f t="shared" ref="C38:I38" si="1">SUM(C7:C37)</f>
        <v>0</v>
      </c>
      <c r="D38" s="141">
        <f t="shared" si="1"/>
        <v>0</v>
      </c>
      <c r="E38" s="141">
        <f t="shared" si="1"/>
        <v>0</v>
      </c>
      <c r="F38" s="141">
        <f t="shared" si="1"/>
        <v>0</v>
      </c>
      <c r="G38" s="141">
        <f t="shared" si="1"/>
        <v>0</v>
      </c>
      <c r="H38" s="141">
        <f t="shared" si="1"/>
        <v>0</v>
      </c>
      <c r="I38" s="141">
        <f t="shared" si="1"/>
        <v>0</v>
      </c>
      <c r="J38" s="141">
        <f t="shared" ref="J38" si="2">SUM(J7:J37)</f>
        <v>0</v>
      </c>
      <c r="K38" s="164">
        <f>SUM(K7:K37)</f>
        <v>0</v>
      </c>
    </row>
    <row r="39" spans="1:11" ht="14.5" thickBot="1" x14ac:dyDescent="0.4"/>
    <row r="40" spans="1:11" x14ac:dyDescent="0.35">
      <c r="B40" s="567" t="s">
        <v>58</v>
      </c>
      <c r="C40" s="568"/>
      <c r="D40" s="568"/>
      <c r="E40" s="569"/>
      <c r="F40" s="19"/>
      <c r="G40" s="19"/>
      <c r="H40" s="19"/>
    </row>
    <row r="41" spans="1:11" x14ac:dyDescent="0.35">
      <c r="B41" s="563" t="s">
        <v>116</v>
      </c>
      <c r="C41" s="20" t="s">
        <v>78</v>
      </c>
      <c r="D41" s="142">
        <f>C38+E38</f>
        <v>0</v>
      </c>
      <c r="E41" s="558">
        <f>+D41+D42</f>
        <v>0</v>
      </c>
    </row>
    <row r="42" spans="1:11" x14ac:dyDescent="0.35">
      <c r="B42" s="564"/>
      <c r="C42" s="21" t="s">
        <v>79</v>
      </c>
      <c r="D42" s="143">
        <f>D38+F38</f>
        <v>0</v>
      </c>
      <c r="E42" s="559"/>
    </row>
    <row r="43" spans="1:11" x14ac:dyDescent="0.35">
      <c r="B43" s="565" t="s">
        <v>77</v>
      </c>
      <c r="C43" s="20" t="s">
        <v>78</v>
      </c>
      <c r="D43" s="142">
        <f>G38+I38</f>
        <v>0</v>
      </c>
      <c r="E43" s="558">
        <f>+D43+D44</f>
        <v>0</v>
      </c>
    </row>
    <row r="44" spans="1:11" ht="14.5" thickBot="1" x14ac:dyDescent="0.4">
      <c r="B44" s="566"/>
      <c r="C44" s="21" t="s">
        <v>79</v>
      </c>
      <c r="D44" s="144">
        <f>H38+J38</f>
        <v>0</v>
      </c>
      <c r="E44" s="560"/>
    </row>
    <row r="45" spans="1:11" ht="14.5" thickBot="1" x14ac:dyDescent="0.4">
      <c r="B45" s="556" t="s">
        <v>169</v>
      </c>
      <c r="C45" s="557"/>
      <c r="D45" s="557"/>
      <c r="E45" s="129">
        <f>E41+E43</f>
        <v>0</v>
      </c>
      <c r="F45" s="23"/>
      <c r="G45" s="23"/>
      <c r="H45" s="23"/>
    </row>
    <row r="46" spans="1:11" x14ac:dyDescent="0.35">
      <c r="B46" s="171"/>
      <c r="C46" s="171"/>
      <c r="D46" s="171"/>
      <c r="E46" s="170"/>
      <c r="F46" s="23"/>
      <c r="G46" s="23"/>
      <c r="H46" s="23"/>
    </row>
    <row r="47" spans="1:11" x14ac:dyDescent="0.35">
      <c r="B47" s="172" t="s">
        <v>170</v>
      </c>
      <c r="C47" s="232" t="s">
        <v>323</v>
      </c>
      <c r="D47" s="233" t="s">
        <v>350</v>
      </c>
      <c r="E47" s="234" t="s">
        <v>80</v>
      </c>
      <c r="F47" s="23"/>
      <c r="G47" s="23"/>
    </row>
    <row r="48" spans="1:11" x14ac:dyDescent="0.35">
      <c r="B48" s="173" t="s">
        <v>171</v>
      </c>
      <c r="C48" s="235">
        <f>IFERROR(C38/D41,0)</f>
        <v>0</v>
      </c>
      <c r="D48" s="236">
        <f>IFERROR(E38/D41,0)</f>
        <v>0</v>
      </c>
      <c r="E48" s="237">
        <f>SUM(C48:D48)</f>
        <v>0</v>
      </c>
      <c r="F48" s="23"/>
      <c r="G48" s="23"/>
    </row>
    <row r="49" spans="2:8" x14ac:dyDescent="0.35">
      <c r="B49" s="171"/>
      <c r="C49" s="171"/>
      <c r="D49" s="171"/>
      <c r="E49" s="170"/>
      <c r="F49" s="23"/>
      <c r="G49" s="23"/>
      <c r="H49" s="23"/>
    </row>
    <row r="50" spans="2:8" ht="14.5" thickBot="1" x14ac:dyDescent="0.4"/>
    <row r="51" spans="2:8" ht="56" x14ac:dyDescent="0.35">
      <c r="B51" s="258" t="s">
        <v>324</v>
      </c>
      <c r="C51" s="190" t="s">
        <v>172</v>
      </c>
      <c r="D51" s="191" t="s">
        <v>173</v>
      </c>
      <c r="E51" s="191" t="s">
        <v>174</v>
      </c>
      <c r="G51" s="69"/>
      <c r="H51" s="4"/>
    </row>
    <row r="52" spans="2:8" ht="70.5" thickBot="1" x14ac:dyDescent="0.4">
      <c r="B52" s="192" t="s">
        <v>175</v>
      </c>
      <c r="C52" s="193"/>
      <c r="D52" s="194" t="e">
        <f>ROUND((C52/D41),4)</f>
        <v>#DIV/0!</v>
      </c>
      <c r="E52" s="194" t="e">
        <f>IF(D52&gt;0.0499,"CUMPLE","NO CUMPLE")</f>
        <v>#DIV/0!</v>
      </c>
      <c r="G52" s="146"/>
      <c r="H52" s="4"/>
    </row>
    <row r="53" spans="2:8" x14ac:dyDescent="0.35">
      <c r="B53" s="146"/>
    </row>
    <row r="54" spans="2:8" x14ac:dyDescent="0.35">
      <c r="F54" s="174"/>
    </row>
  </sheetData>
  <mergeCells count="18">
    <mergeCell ref="B45:D45"/>
    <mergeCell ref="E41:E42"/>
    <mergeCell ref="E43:E44"/>
    <mergeCell ref="A38:B38"/>
    <mergeCell ref="B41:B42"/>
    <mergeCell ref="B43:B44"/>
    <mergeCell ref="B40:E40"/>
    <mergeCell ref="C2:K2"/>
    <mergeCell ref="C4:K4"/>
    <mergeCell ref="A1:K1"/>
    <mergeCell ref="C5:D5"/>
    <mergeCell ref="A5:A6"/>
    <mergeCell ref="B5:B6"/>
    <mergeCell ref="G5:H5"/>
    <mergeCell ref="K5:K6"/>
    <mergeCell ref="E5:F5"/>
    <mergeCell ref="I5:J5"/>
    <mergeCell ref="C3:K3"/>
  </mergeCells>
  <conditionalFormatting sqref="G51:H52">
    <cfRule type="containsText" dxfId="5" priority="1" operator="containsText" text="El dinero">
      <formula>NOT(ISERROR(SEARCH("El dinero",G51)))</formula>
    </cfRule>
  </conditionalFormatting>
  <conditionalFormatting sqref="I40">
    <cfRule type="containsText" dxfId="4" priority="2" stopIfTrue="1" operator="containsText" text="no">
      <formula>NOT(ISERROR(SEARCH("no",I40)))</formula>
    </cfRule>
    <cfRule type="containsText" dxfId="3" priority="3" stopIfTrue="1" operator="containsText" text="Excede">
      <formula>NOT(ISERROR(SEARCH("Excede",I40)))</formula>
    </cfRule>
  </conditionalFormatting>
  <conditionalFormatting sqref="J42:P42">
    <cfRule type="containsText" dxfId="2" priority="4" stopIfTrue="1" operator="containsText" text="no">
      <formula>NOT(ISERROR(SEARCH("no",J42)))</formula>
    </cfRule>
  </conditionalFormatting>
  <conditionalFormatting sqref="J43:P43">
    <cfRule type="containsText" dxfId="1" priority="5" stopIfTrue="1" operator="containsText" text="Excede">
      <formula>NOT(ISERROR(SEARCH("Excede",J43)))</formula>
    </cfRule>
  </conditionalFormatting>
  <conditionalFormatting sqref="P40:P41 J41:O41">
    <cfRule type="containsText" dxfId="0" priority="6" stopIfTrue="1" operator="containsText" text="Excede">
      <formula>NOT(ISERROR(SEARCH("Excede",J40)))</formula>
    </cfRule>
  </conditionalFormatting>
  <dataValidations xWindow="283" yWindow="706" count="30">
    <dataValidation allowBlank="1" showInputMessage="1" showErrorMessage="1" prompt="Valor de los equipos adquiridos para dotación y uso de los laboratorios de docencia, investigación, extensión, asesoría y servicios de salud de la Universidad." sqref="B14" xr:uid="{00000000-0002-0000-0300-000000000000}"/>
    <dataValidation allowBlank="1" showInputMessage="1" showErrorMessage="1" prompt="Incluye las partidas aplicadas a la adquisición de máquinas destinadas a operaciones de servicio y/o auxiliares de la docencia e investigación como calderas, plantas eléctricas auxiliares, motores eléctricos, y similares" sqref="B15" xr:uid="{00000000-0002-0000-0300-000001000000}"/>
    <dataValidation allowBlank="1" showInputMessage="1" showErrorMessage="1" prompt="Televisores, radios, microfilmadoras, filmadoras, proyectores, y similares" sqref="B22" xr:uid="{00000000-0002-0000-0300-000002000000}"/>
    <dataValidation allowBlank="1" showInputMessage="1" showErrorMessage="1" prompt="Adquisición de equipos propios del funcionamiento de las oficinas,_x000a_tales como: Máquinas de escribir, calculadoras, fotocopiadoras de oficina, teléfonos, y similares." sqref="B23" xr:uid="{00000000-0002-0000-0300-000003000000}"/>
    <dataValidation allowBlank="1" showInputMessage="1" showErrorMessage="1" prompt="Recursos aplicados en la adquisición de equipo cómputo y hardware de la Universidad. " sqref="B24" xr:uid="{00000000-0002-0000-0300-000004000000}"/>
    <dataValidation allowBlank="1" showInputMessage="1" showErrorMessage="1" prompt="Valor de adquisición de muebles como: escritorios, sillas pupitres, mesas, butacas, bibliotecas, estantes, vitrinas, planotecas, archivadores, etc." sqref="B25" xr:uid="{00000000-0002-0000-0300-000005000000}"/>
    <dataValidation allowBlank="1" showInputMessage="1" showErrorMessage="1" prompt="Se refiere a recursos aplicados a la adquisición de elementos devolutivos (no fungibles) destinados a la dotación de los laboratorios de docencia, investigación y servicios de salud de la Universidad." sqref="B26" xr:uid="{00000000-0002-0000-0300-000006000000}"/>
    <dataValidation allowBlank="1" showInputMessage="1" showErrorMessage="1" prompt="Son los recursos necesarios para la adquisición de todo tipo de herramientas (elementos devolutivos)que sean requeridas como auxiliares en el funcionamiento de laboratorios y unidades académicas y administrativas" sqref="B27" xr:uid="{00000000-0002-0000-0300-000007000000}"/>
    <dataValidation allowBlank="1" showInputMessage="1" showErrorMessage="1" prompt="Se refiere a los gastos requeridos para la puesta en marcha de los equipos de laboratorio y maquinaria adquiridos por la Universidad" sqref="B28" xr:uid="{00000000-0002-0000-0300-000008000000}"/>
    <dataValidation allowBlank="1" showInputMessage="1" showErrorMessage="1" prompt="Corresponde a la autorización legal para hacer uso de un programa, para el manejo de una aplicación en computador o similares." sqref="B19" xr:uid="{00000000-0002-0000-0300-000009000000}"/>
    <dataValidation allowBlank="1" showInputMessage="1" showErrorMessage="1" prompt="Hace referencia a los recursos aplicados en la adquisición de libros, revistas, videos, material didáctico, consultas, material bibliográfico con destino a la dotación de la biblioteca de la Universidad_x000a_y a las unidades académicas y administrativas" sqref="B21" xr:uid="{00000000-0002-0000-0300-00000A000000}"/>
    <dataValidation allowBlank="1" showInputMessage="1" showErrorMessage="1" prompt="Son los gastos autorizados y ocasionados por la mejora, remodelación, adaptación o restauración de la planta física de la Universidad. " sqref="B29" xr:uid="{00000000-0002-0000-0300-00000B000000}"/>
    <dataValidation allowBlank="1" showInputMessage="1" showErrorMessage="1" prompt="Corresponde a los aportes a la Administradora de Riesgos Laborales (ARL) por estudiantes de la Universidad " sqref="B9" xr:uid="{00000000-0002-0000-0300-00000C000000}"/>
    <dataValidation allowBlank="1" showInputMessage="1" showErrorMessage="1" prompt="Corresponde la retribución por servicios prestados a la Universidad en forma transitoria y esporádica, por personas naturales o jurídicas" sqref="B7" xr:uid="{00000000-0002-0000-0300-00000D000000}"/>
    <dataValidation allowBlank="1" showInputMessage="1" showErrorMessage="1" prompt="Comprende los gastos ocasionados por la adquisición de elementos necesarios para el funcionamiento de las oficinas, tales como papelería, formatos, libros de control, cintas para maquinas, papel carbón, lápices, borradores, y similares" sqref="B20" xr:uid="{00000000-0002-0000-0300-00000E000000}"/>
    <dataValidation allowBlank="1" showInputMessage="1" showErrorMessage="1" prompt="Comprende los gastos ocasionados por la compra de productos y sustancias químicas necesarias para prácticas de laboratorio, aplicaciones operativas de servicios o de investigación" sqref="B18" xr:uid="{00000000-0002-0000-0300-00000F000000}"/>
    <dataValidation allowBlank="1" showInputMessage="1" showErrorMessage="1" prompt="Son gastos causados por el pago de alquiler de bienes muebles tales como: fotocopiadoras, cilindros, grúas, equipo técnico para enseñanza e investigación, clasificadoras, computadores, vehículos; y de bienes inmuebles " sqref="B30" xr:uid="{00000000-0002-0000-0300-000010000000}"/>
    <dataValidation allowBlank="1" showInputMessage="1" showErrorMessage="1" prompt="Corresponde al pago en dinero a los estudiantes de la Universidad por realización de labores propias de docencia, investigación y extensión" sqref="B8" xr:uid="{00000000-0002-0000-0300-000011000000}"/>
    <dataValidation allowBlank="1" showInputMessage="1" showErrorMessage="1" prompt="Son los gastos por concepto de portes y pago de peajes." sqref="B33" xr:uid="{00000000-0002-0000-0300-000012000000}"/>
    <dataValidation allowBlank="1" showInputMessage="1" showErrorMessage="1" prompt="Son los gastos por concepto acarreo de elementos, transporte de materiales o equipos y similares." sqref="B34" xr:uid="{00000000-0002-0000-0300-000013000000}"/>
    <dataValidation allowBlank="1" showInputMessage="1" showErrorMessage="1" prompt="Corresponde a los pagos efectuados por la adquisición de tiquetes aéreos y terrestres, necesarios para el desplazamiento del personal de la Universidad o invitados a otros sitios" sqref="B11" xr:uid="{00000000-0002-0000-0300-000014000000}"/>
    <dataValidation allowBlank="1" showInputMessage="1" showErrorMessage="1" prompt="Son los pagos que se realizan a las compañías aseguradoras para cubrir el valor de las pólizas que expidan para amparar los riesgos que corren los bienes muebles o inmuebles" sqref="B31" xr:uid="{00000000-0002-0000-0300-000015000000}"/>
    <dataValidation allowBlank="1" showInputMessage="1" showErrorMessage="1" prompt="Corresponde a los gastos por concepto de avisos en: Radio, prensa, revistas, anuncios y emisión de programas en televisión, entre otros, y publicación de folletos" sqref="B35:B36" xr:uid="{00000000-0002-0000-0300-000016000000}"/>
    <dataValidation allowBlank="1" showInputMessage="1" showErrorMessage="1" prompt="Son los gastos de alojamiento y alimentación aprobados a los empleados de planta y horas cátedra de la Universidad cuando deban desempeñar funciones en una localidad diferente a su sede habitual de trabajo" sqref="B12" xr:uid="{00000000-0002-0000-0300-000017000000}"/>
    <dataValidation allowBlank="1" showInputMessage="1" showErrorMessage="1" prompt="Planta y no planta: Corresponde a los gastos que se reconoce por alojamiento, alimentación, transporte y demás gastos necesarios para el cabal cumplimiento de la comisión o realización de actividades misionales." sqref="B13" xr:uid="{00000000-0002-0000-0300-000018000000}"/>
    <dataValidation allowBlank="1" showInputMessage="1" showErrorMessage="1" prompt="Corresponde a los gastos tendientes a la conservación y reparación de bienes muebles e inmuebles de la Universidad" sqref="B17" xr:uid="{00000000-0002-0000-0300-000019000000}"/>
    <dataValidation allowBlank="1" showInputMessage="1" showErrorMessage="1" prompt="Comprende los gastos causados por las salidas de estudiantes y de personal de planta" sqref="B16" xr:uid="{00000000-0002-0000-0300-00001A000000}"/>
    <dataValidation allowBlank="1" showInputMessage="1" showErrorMessage="1" prompt="Capacitaciones para personal docente o administrativo, cuya duración no sea superior a seis (6) meses." sqref="B32" xr:uid="{00000000-0002-0000-0300-00001B000000}"/>
    <dataValidation allowBlank="1" showInputMessage="1" showErrorMessage="1" prompt="Son los gastos ocasionados por los trámites de las importaciones e incluyen seguros de transporte, amparos, acarreos, bodegaje, multas, etc." sqref="B37" xr:uid="{00000000-0002-0000-0300-00001C000000}"/>
    <dataValidation allowBlank="1" showInputMessage="1" showErrorMessage="1" prompt="Servicios técnicos que sean solicitados a los laboratorios o grupos de la Universidad Industrial de Santander (Ensayos de laboratorio)" sqref="B10" xr:uid="{00000000-0002-0000-0300-00001D000000}"/>
  </dataValidations>
  <pageMargins left="0.7" right="0.7" top="0.75" bottom="0.75" header="0.3" footer="0.3"/>
  <pageSetup paperSize="9" scale="45"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
  <sheetViews>
    <sheetView workbookViewId="0">
      <selection activeCell="C6" sqref="C6"/>
    </sheetView>
  </sheetViews>
  <sheetFormatPr baseColWidth="10" defaultColWidth="11.453125" defaultRowHeight="14.5" x14ac:dyDescent="0.35"/>
  <cols>
    <col min="1" max="1" width="21" bestFit="1" customWidth="1"/>
    <col min="3" max="3" width="44.81640625" customWidth="1"/>
  </cols>
  <sheetData>
    <row r="1" spans="1:3" x14ac:dyDescent="0.35">
      <c r="A1" s="570" t="s">
        <v>176</v>
      </c>
      <c r="B1" s="570"/>
      <c r="C1" s="570"/>
    </row>
    <row r="2" spans="1:3" x14ac:dyDescent="0.35">
      <c r="A2" s="180" t="s">
        <v>177</v>
      </c>
      <c r="B2" s="180" t="s">
        <v>178</v>
      </c>
      <c r="C2" s="180" t="s">
        <v>179</v>
      </c>
    </row>
    <row r="3" spans="1:3" ht="43.5" x14ac:dyDescent="0.35">
      <c r="A3" s="182" t="s">
        <v>180</v>
      </c>
      <c r="B3" s="183">
        <v>6</v>
      </c>
      <c r="C3" s="184" t="s">
        <v>181</v>
      </c>
    </row>
    <row r="4" spans="1:3" ht="29" x14ac:dyDescent="0.35">
      <c r="A4" s="183" t="s">
        <v>182</v>
      </c>
      <c r="B4" s="183">
        <v>7</v>
      </c>
      <c r="C4" s="185" t="s">
        <v>183</v>
      </c>
    </row>
    <row r="5" spans="1:3" ht="29" x14ac:dyDescent="0.35">
      <c r="A5" s="183" t="s">
        <v>184</v>
      </c>
      <c r="B5" s="183">
        <v>8</v>
      </c>
      <c r="C5" s="195" t="s">
        <v>185</v>
      </c>
    </row>
    <row r="6" spans="1:3" ht="29" x14ac:dyDescent="0.35">
      <c r="A6" s="183" t="s">
        <v>186</v>
      </c>
      <c r="B6" s="181">
        <v>9</v>
      </c>
      <c r="C6" s="195" t="s">
        <v>187</v>
      </c>
    </row>
  </sheetData>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32"/>
  <sheetViews>
    <sheetView topLeftCell="A69" zoomScale="130" zoomScaleNormal="130" workbookViewId="0">
      <selection activeCell="A76" sqref="A76"/>
    </sheetView>
  </sheetViews>
  <sheetFormatPr baseColWidth="10" defaultColWidth="11.453125" defaultRowHeight="14" x14ac:dyDescent="0.3"/>
  <cols>
    <col min="1" max="1" width="55.26953125" style="263" customWidth="1"/>
    <col min="2" max="2" width="54.7265625" style="14" customWidth="1"/>
    <col min="3" max="3" width="11.453125" style="14" customWidth="1"/>
    <col min="4" max="7" width="11.453125" style="14"/>
    <col min="8" max="9" width="63" style="14" customWidth="1"/>
    <col min="10" max="10" width="21.453125" style="14" customWidth="1"/>
    <col min="11" max="16384" width="11.453125" style="14"/>
  </cols>
  <sheetData>
    <row r="1" spans="1:10" x14ac:dyDescent="0.3">
      <c r="A1" s="260" t="s">
        <v>188</v>
      </c>
    </row>
    <row r="2" spans="1:10" x14ac:dyDescent="0.3">
      <c r="A2" s="261" t="s">
        <v>307</v>
      </c>
      <c r="B2" s="196"/>
      <c r="C2" s="196"/>
      <c r="D2" s="196"/>
      <c r="E2" s="196"/>
      <c r="F2" s="196"/>
      <c r="G2" s="196"/>
      <c r="H2" s="196"/>
      <c r="I2" s="196"/>
      <c r="J2" s="196"/>
    </row>
    <row r="3" spans="1:10" x14ac:dyDescent="0.3">
      <c r="A3" s="261" t="s">
        <v>308</v>
      </c>
      <c r="B3" s="196"/>
      <c r="C3" s="196"/>
      <c r="D3" s="196"/>
      <c r="E3" s="196"/>
      <c r="F3" s="196"/>
      <c r="G3" s="196"/>
      <c r="H3" s="196"/>
      <c r="I3" s="196"/>
      <c r="J3" s="196"/>
    </row>
    <row r="4" spans="1:10" x14ac:dyDescent="0.3">
      <c r="A4" s="261" t="s">
        <v>309</v>
      </c>
      <c r="B4" s="196"/>
      <c r="C4" s="196"/>
      <c r="D4" s="196"/>
      <c r="E4" s="196"/>
      <c r="F4" s="196"/>
      <c r="G4" s="196"/>
      <c r="H4" s="196"/>
      <c r="I4" s="196"/>
      <c r="J4" s="196"/>
    </row>
    <row r="5" spans="1:10" x14ac:dyDescent="0.3">
      <c r="A5" s="261" t="s">
        <v>310</v>
      </c>
      <c r="B5" s="196"/>
      <c r="C5" s="196"/>
      <c r="D5" s="196"/>
      <c r="E5" s="196"/>
      <c r="F5" s="196"/>
      <c r="G5" s="196"/>
      <c r="H5" s="196"/>
      <c r="I5" s="196"/>
      <c r="J5" s="196"/>
    </row>
    <row r="6" spans="1:10" x14ac:dyDescent="0.3">
      <c r="A6" s="261" t="s">
        <v>311</v>
      </c>
      <c r="B6" s="196"/>
      <c r="C6" s="196"/>
      <c r="D6" s="196"/>
      <c r="E6" s="196"/>
      <c r="F6" s="196"/>
      <c r="G6" s="196"/>
      <c r="H6" s="196"/>
      <c r="I6" s="196"/>
      <c r="J6" s="196"/>
    </row>
    <row r="7" spans="1:10" x14ac:dyDescent="0.3">
      <c r="A7" s="261" t="s">
        <v>189</v>
      </c>
      <c r="C7" s="196"/>
      <c r="D7" s="196"/>
      <c r="E7" s="196"/>
      <c r="F7" s="196"/>
      <c r="G7" s="196"/>
      <c r="H7" s="196"/>
      <c r="I7" s="196"/>
      <c r="J7" s="196"/>
    </row>
    <row r="8" spans="1:10" x14ac:dyDescent="0.3">
      <c r="A8" s="261" t="s">
        <v>190</v>
      </c>
      <c r="B8" s="196"/>
      <c r="C8" s="196"/>
      <c r="D8" s="196"/>
      <c r="E8" s="196"/>
      <c r="F8" s="196"/>
      <c r="G8" s="196"/>
      <c r="H8" s="196"/>
      <c r="I8" s="196"/>
      <c r="J8" s="196"/>
    </row>
    <row r="9" spans="1:10" x14ac:dyDescent="0.3">
      <c r="A9" s="261" t="s">
        <v>313</v>
      </c>
      <c r="B9" s="196"/>
      <c r="C9" s="196"/>
      <c r="D9" s="196"/>
      <c r="E9" s="196"/>
      <c r="F9" s="196"/>
      <c r="G9" s="196"/>
      <c r="H9" s="196"/>
      <c r="I9" s="196"/>
      <c r="J9" s="196"/>
    </row>
    <row r="10" spans="1:10" x14ac:dyDescent="0.3">
      <c r="A10" s="261"/>
      <c r="B10" s="196"/>
      <c r="C10" s="196"/>
      <c r="D10" s="196"/>
      <c r="E10" s="196"/>
      <c r="F10" s="196"/>
      <c r="G10" s="196"/>
      <c r="H10" s="196"/>
      <c r="I10" s="196"/>
      <c r="J10" s="196"/>
    </row>
    <row r="11" spans="1:10" x14ac:dyDescent="0.3">
      <c r="A11" s="260" t="s">
        <v>191</v>
      </c>
    </row>
    <row r="12" spans="1:10" x14ac:dyDescent="0.3">
      <c r="A12" s="261" t="s">
        <v>314</v>
      </c>
      <c r="B12" s="196"/>
      <c r="C12" s="196"/>
      <c r="D12" s="196"/>
      <c r="E12" s="196"/>
      <c r="F12" s="196"/>
      <c r="G12" s="196"/>
      <c r="H12" s="196"/>
      <c r="I12" s="196"/>
      <c r="J12" s="196"/>
    </row>
    <row r="13" spans="1:10" x14ac:dyDescent="0.3">
      <c r="A13" s="261" t="s">
        <v>315</v>
      </c>
      <c r="B13" s="196"/>
      <c r="C13" s="196"/>
      <c r="D13" s="196"/>
      <c r="E13" s="196"/>
      <c r="F13" s="196"/>
      <c r="G13" s="196"/>
      <c r="H13" s="196"/>
      <c r="I13" s="196"/>
      <c r="J13" s="196"/>
    </row>
    <row r="14" spans="1:10" x14ac:dyDescent="0.3">
      <c r="A14" s="261" t="s">
        <v>316</v>
      </c>
      <c r="B14" s="196"/>
      <c r="C14" s="196"/>
      <c r="D14" s="196"/>
      <c r="E14" s="196"/>
      <c r="F14" s="196"/>
      <c r="G14" s="196"/>
      <c r="H14" s="196"/>
      <c r="I14" s="196"/>
      <c r="J14" s="196"/>
    </row>
    <row r="15" spans="1:10" x14ac:dyDescent="0.3">
      <c r="A15" s="261" t="s">
        <v>5</v>
      </c>
      <c r="B15" s="196"/>
      <c r="C15" s="196"/>
      <c r="D15" s="196"/>
      <c r="E15" s="196"/>
      <c r="F15" s="196"/>
      <c r="G15" s="196"/>
      <c r="H15" s="196"/>
      <c r="I15" s="196"/>
      <c r="J15" s="196"/>
    </row>
    <row r="16" spans="1:10" x14ac:dyDescent="0.3">
      <c r="A16" s="261"/>
    </row>
    <row r="17" spans="1:10" x14ac:dyDescent="0.3">
      <c r="A17" s="261"/>
    </row>
    <row r="18" spans="1:10" x14ac:dyDescent="0.3">
      <c r="A18" s="260" t="s">
        <v>192</v>
      </c>
    </row>
    <row r="19" spans="1:10" ht="409.5" x14ac:dyDescent="0.3">
      <c r="A19" s="273" t="s">
        <v>330</v>
      </c>
      <c r="B19" s="197" t="s">
        <v>328</v>
      </c>
      <c r="C19" s="196"/>
      <c r="D19" s="196"/>
      <c r="E19" s="196"/>
      <c r="F19" s="196"/>
      <c r="G19" s="196"/>
      <c r="H19" s="196"/>
      <c r="I19" s="196"/>
      <c r="J19" s="5" t="s">
        <v>142</v>
      </c>
    </row>
    <row r="20" spans="1:10" ht="409.5" x14ac:dyDescent="0.3">
      <c r="A20" s="273" t="s">
        <v>331</v>
      </c>
      <c r="B20" s="197" t="s">
        <v>326</v>
      </c>
      <c r="C20" s="196"/>
      <c r="D20" s="196"/>
      <c r="E20" s="196"/>
      <c r="F20" s="196"/>
      <c r="G20" s="196"/>
      <c r="H20" s="196"/>
      <c r="I20" s="196"/>
      <c r="J20" s="15" t="s">
        <v>193</v>
      </c>
    </row>
    <row r="21" spans="1:10" ht="409.5" x14ac:dyDescent="0.3">
      <c r="A21" s="273" t="s">
        <v>332</v>
      </c>
      <c r="B21" s="197" t="s">
        <v>327</v>
      </c>
      <c r="C21" s="196"/>
      <c r="D21" s="196"/>
      <c r="E21" s="196"/>
      <c r="F21" s="196"/>
      <c r="G21" s="196"/>
      <c r="H21" s="196"/>
      <c r="I21" s="196"/>
      <c r="J21" s="15"/>
    </row>
    <row r="22" spans="1:10" ht="409.5" x14ac:dyDescent="0.3">
      <c r="A22" s="273" t="s">
        <v>329</v>
      </c>
      <c r="B22" s="197" t="s">
        <v>194</v>
      </c>
      <c r="C22" s="196"/>
      <c r="D22" s="196"/>
      <c r="E22" s="196"/>
      <c r="F22" s="196"/>
      <c r="G22" s="196"/>
      <c r="H22" s="196"/>
      <c r="I22" s="196"/>
      <c r="J22" s="5" t="s">
        <v>195</v>
      </c>
    </row>
    <row r="23" spans="1:10" ht="409.5" x14ac:dyDescent="0.3">
      <c r="A23" s="273" t="s">
        <v>325</v>
      </c>
      <c r="B23" s="197" t="s">
        <v>196</v>
      </c>
      <c r="C23" s="196"/>
      <c r="D23" s="196"/>
      <c r="E23" s="196"/>
      <c r="F23" s="196"/>
      <c r="G23" s="196"/>
      <c r="H23" s="196"/>
      <c r="I23" s="196"/>
      <c r="J23" s="5" t="s">
        <v>197</v>
      </c>
    </row>
    <row r="24" spans="1:10" ht="409.5" x14ac:dyDescent="0.3">
      <c r="A24" s="273" t="s">
        <v>333</v>
      </c>
      <c r="B24" s="197" t="s">
        <v>189</v>
      </c>
      <c r="C24" s="196"/>
      <c r="D24" s="196"/>
      <c r="E24" s="196"/>
      <c r="F24" s="196"/>
      <c r="G24" s="196"/>
      <c r="H24" s="196"/>
      <c r="I24" s="196"/>
      <c r="J24" s="5" t="s">
        <v>198</v>
      </c>
    </row>
    <row r="25" spans="1:10" ht="409.5" x14ac:dyDescent="0.3">
      <c r="A25" s="273" t="s">
        <v>334</v>
      </c>
      <c r="B25" s="16" t="s">
        <v>190</v>
      </c>
      <c r="C25" s="196"/>
      <c r="D25" s="196"/>
      <c r="E25" s="196"/>
      <c r="F25" s="196"/>
      <c r="G25" s="196"/>
      <c r="H25" s="196"/>
      <c r="I25" s="196"/>
      <c r="J25" s="5" t="s">
        <v>199</v>
      </c>
    </row>
    <row r="26" spans="1:10" ht="409.5" x14ac:dyDescent="0.3">
      <c r="A26" s="273" t="s">
        <v>330</v>
      </c>
      <c r="B26" s="16" t="s">
        <v>312</v>
      </c>
      <c r="C26" s="196"/>
      <c r="D26" s="196"/>
      <c r="E26" s="196"/>
      <c r="F26" s="196"/>
      <c r="G26" s="196"/>
      <c r="H26" s="196"/>
      <c r="I26" s="196"/>
      <c r="J26" s="5"/>
    </row>
    <row r="27" spans="1:10" ht="322" x14ac:dyDescent="0.3">
      <c r="A27" s="273" t="s">
        <v>335</v>
      </c>
      <c r="B27" s="16" t="s">
        <v>313</v>
      </c>
      <c r="C27" s="196"/>
      <c r="D27" s="196"/>
      <c r="E27" s="196"/>
      <c r="F27" s="196"/>
      <c r="G27" s="196"/>
      <c r="H27" s="196"/>
      <c r="I27" s="196"/>
      <c r="J27" s="5"/>
    </row>
    <row r="28" spans="1:10" ht="112" x14ac:dyDescent="0.3">
      <c r="A28" s="273"/>
      <c r="B28" s="196"/>
      <c r="C28" s="196"/>
      <c r="D28" s="196"/>
      <c r="E28" s="196"/>
      <c r="F28" s="196"/>
      <c r="G28" s="196"/>
      <c r="H28" s="196"/>
      <c r="I28" s="196"/>
      <c r="J28" s="5" t="s">
        <v>200</v>
      </c>
    </row>
    <row r="29" spans="1:10" x14ac:dyDescent="0.3">
      <c r="A29" s="273"/>
      <c r="B29" s="196"/>
      <c r="C29" s="196"/>
      <c r="D29" s="196"/>
      <c r="E29" s="196"/>
      <c r="F29" s="196"/>
      <c r="G29" s="196"/>
      <c r="H29" s="196"/>
      <c r="I29" s="196"/>
      <c r="J29" s="5"/>
    </row>
    <row r="30" spans="1:10" x14ac:dyDescent="0.3">
      <c r="A30" s="273"/>
      <c r="B30" s="196"/>
      <c r="C30" s="196"/>
      <c r="D30" s="196"/>
      <c r="E30" s="196"/>
      <c r="F30" s="196"/>
      <c r="G30" s="196"/>
      <c r="H30" s="196"/>
      <c r="I30" s="196"/>
      <c r="J30" s="5"/>
    </row>
    <row r="31" spans="1:10" x14ac:dyDescent="0.3">
      <c r="A31" s="273"/>
      <c r="B31" s="196"/>
      <c r="C31" s="196"/>
      <c r="D31" s="196"/>
      <c r="E31" s="196"/>
      <c r="F31" s="196"/>
      <c r="G31" s="196"/>
      <c r="H31" s="196"/>
      <c r="I31" s="196"/>
      <c r="J31" s="5"/>
    </row>
    <row r="32" spans="1:10" x14ac:dyDescent="0.3">
      <c r="A32" s="273"/>
      <c r="B32" s="196"/>
      <c r="C32" s="196"/>
      <c r="D32" s="196"/>
      <c r="E32" s="196"/>
      <c r="F32" s="196"/>
      <c r="G32" s="196"/>
      <c r="H32" s="196"/>
      <c r="I32" s="196"/>
      <c r="J32" s="5"/>
    </row>
    <row r="33" spans="1:10" x14ac:dyDescent="0.3">
      <c r="A33" s="273"/>
      <c r="B33" s="196"/>
      <c r="C33" s="196"/>
      <c r="D33" s="196"/>
      <c r="E33" s="196"/>
      <c r="F33" s="196"/>
      <c r="G33" s="196"/>
      <c r="H33" s="196"/>
      <c r="I33" s="196"/>
      <c r="J33" s="5"/>
    </row>
    <row r="34" spans="1:10" x14ac:dyDescent="0.3">
      <c r="A34" s="262"/>
      <c r="B34" s="15"/>
      <c r="C34" s="15"/>
      <c r="D34" s="15"/>
      <c r="E34" s="15"/>
      <c r="F34" s="15"/>
      <c r="G34" s="15"/>
      <c r="H34" s="15"/>
      <c r="I34" s="15"/>
      <c r="J34" s="59"/>
    </row>
    <row r="35" spans="1:10" x14ac:dyDescent="0.3">
      <c r="A35" s="260" t="s">
        <v>59</v>
      </c>
    </row>
    <row r="36" spans="1:10" x14ac:dyDescent="0.3">
      <c r="A36" s="263" t="s">
        <v>98</v>
      </c>
    </row>
    <row r="37" spans="1:10" x14ac:dyDescent="0.3">
      <c r="A37" s="263" t="s">
        <v>99</v>
      </c>
    </row>
    <row r="38" spans="1:10" x14ac:dyDescent="0.3">
      <c r="A38" s="263" t="s">
        <v>201</v>
      </c>
    </row>
    <row r="39" spans="1:10" x14ac:dyDescent="0.3">
      <c r="A39" s="263" t="s">
        <v>202</v>
      </c>
    </row>
    <row r="40" spans="1:10" x14ac:dyDescent="0.3">
      <c r="A40" s="263" t="s">
        <v>203</v>
      </c>
    </row>
    <row r="41" spans="1:10" x14ac:dyDescent="0.3">
      <c r="A41" s="263" t="s">
        <v>204</v>
      </c>
    </row>
    <row r="42" spans="1:10" x14ac:dyDescent="0.3">
      <c r="A42" s="263" t="s">
        <v>105</v>
      </c>
    </row>
    <row r="43" spans="1:10" x14ac:dyDescent="0.3">
      <c r="A43" s="263" t="s">
        <v>108</v>
      </c>
    </row>
    <row r="46" spans="1:10" x14ac:dyDescent="0.3">
      <c r="A46" s="260" t="s">
        <v>205</v>
      </c>
    </row>
    <row r="47" spans="1:10" x14ac:dyDescent="0.3">
      <c r="A47" s="263" t="s">
        <v>116</v>
      </c>
    </row>
    <row r="48" spans="1:10" x14ac:dyDescent="0.3">
      <c r="A48" s="263" t="s">
        <v>206</v>
      </c>
    </row>
    <row r="51" spans="1:1" x14ac:dyDescent="0.3">
      <c r="A51" s="260" t="s">
        <v>207</v>
      </c>
    </row>
    <row r="52" spans="1:1" x14ac:dyDescent="0.3">
      <c r="A52" s="263" t="s">
        <v>78</v>
      </c>
    </row>
    <row r="53" spans="1:1" x14ac:dyDescent="0.3">
      <c r="A53" s="263" t="s">
        <v>79</v>
      </c>
    </row>
    <row r="54" spans="1:1" x14ac:dyDescent="0.3">
      <c r="A54" s="263" t="s">
        <v>208</v>
      </c>
    </row>
    <row r="57" spans="1:1" x14ac:dyDescent="0.3">
      <c r="A57" s="260" t="s">
        <v>209</v>
      </c>
    </row>
    <row r="58" spans="1:1" x14ac:dyDescent="0.3">
      <c r="A58" s="263" t="s">
        <v>134</v>
      </c>
    </row>
    <row r="59" spans="1:1" x14ac:dyDescent="0.3">
      <c r="A59" s="263" t="s">
        <v>136</v>
      </c>
    </row>
    <row r="62" spans="1:1" x14ac:dyDescent="0.3">
      <c r="A62" s="260" t="s">
        <v>210</v>
      </c>
    </row>
    <row r="63" spans="1:1" x14ac:dyDescent="0.3">
      <c r="A63" s="263" t="s">
        <v>141</v>
      </c>
    </row>
    <row r="64" spans="1:1" x14ac:dyDescent="0.3">
      <c r="A64" s="263" t="s">
        <v>143</v>
      </c>
    </row>
    <row r="65" spans="1:1" x14ac:dyDescent="0.3">
      <c r="A65" s="263" t="s">
        <v>144</v>
      </c>
    </row>
    <row r="67" spans="1:1" x14ac:dyDescent="0.3">
      <c r="A67" s="260" t="s">
        <v>211</v>
      </c>
    </row>
    <row r="68" spans="1:1" x14ac:dyDescent="0.3">
      <c r="A68" s="263" t="s">
        <v>145</v>
      </c>
    </row>
    <row r="69" spans="1:1" x14ac:dyDescent="0.3">
      <c r="A69" s="263" t="s">
        <v>146</v>
      </c>
    </row>
    <row r="71" spans="1:1" x14ac:dyDescent="0.3">
      <c r="A71" s="260" t="s">
        <v>69</v>
      </c>
    </row>
    <row r="72" spans="1:1" x14ac:dyDescent="0.3">
      <c r="A72" s="264">
        <v>2026</v>
      </c>
    </row>
    <row r="73" spans="1:1" x14ac:dyDescent="0.3">
      <c r="A73" s="264">
        <v>2027</v>
      </c>
    </row>
    <row r="75" spans="1:1" x14ac:dyDescent="0.3">
      <c r="A75" s="260" t="s">
        <v>346</v>
      </c>
    </row>
    <row r="76" spans="1:1" x14ac:dyDescent="0.3">
      <c r="A76" s="265">
        <v>1524569</v>
      </c>
    </row>
    <row r="78" spans="1:1" x14ac:dyDescent="0.3">
      <c r="A78" s="260" t="s">
        <v>347</v>
      </c>
    </row>
    <row r="79" spans="1:1" x14ac:dyDescent="0.3">
      <c r="A79" s="266">
        <f>A76*1.06</f>
        <v>1616043.1400000001</v>
      </c>
    </row>
    <row r="80" spans="1:1" x14ac:dyDescent="0.3">
      <c r="A80" s="267"/>
    </row>
    <row r="81" spans="1:1" s="201" customFormat="1" x14ac:dyDescent="0.3">
      <c r="A81" s="268" t="s">
        <v>212</v>
      </c>
    </row>
    <row r="82" spans="1:1" s="201" customFormat="1" x14ac:dyDescent="0.3">
      <c r="A82" s="269">
        <f>aproxsmlmv2019*1.06</f>
        <v>1713005.7284000001</v>
      </c>
    </row>
    <row r="85" spans="1:1" x14ac:dyDescent="0.3">
      <c r="A85" s="260" t="s">
        <v>213</v>
      </c>
    </row>
    <row r="86" spans="1:1" x14ac:dyDescent="0.3">
      <c r="A86" s="263" t="s">
        <v>85</v>
      </c>
    </row>
    <row r="87" spans="1:1" x14ac:dyDescent="0.3">
      <c r="A87" s="263" t="s">
        <v>87</v>
      </c>
    </row>
    <row r="88" spans="1:1" x14ac:dyDescent="0.3">
      <c r="A88" s="263" t="s">
        <v>89</v>
      </c>
    </row>
    <row r="89" spans="1:1" x14ac:dyDescent="0.3">
      <c r="A89" s="263" t="s">
        <v>91</v>
      </c>
    </row>
    <row r="90" spans="1:1" x14ac:dyDescent="0.3">
      <c r="A90" s="263" t="s">
        <v>93</v>
      </c>
    </row>
    <row r="92" spans="1:1" x14ac:dyDescent="0.3">
      <c r="A92" s="260" t="s">
        <v>214</v>
      </c>
    </row>
    <row r="93" spans="1:1" x14ac:dyDescent="0.3">
      <c r="A93" s="263" t="s">
        <v>165</v>
      </c>
    </row>
    <row r="94" spans="1:1" x14ac:dyDescent="0.3">
      <c r="A94" s="263" t="s">
        <v>160</v>
      </c>
    </row>
    <row r="95" spans="1:1" x14ac:dyDescent="0.3">
      <c r="A95" s="263" t="s">
        <v>161</v>
      </c>
    </row>
    <row r="96" spans="1:1" x14ac:dyDescent="0.3">
      <c r="A96" s="263" t="s">
        <v>166</v>
      </c>
    </row>
    <row r="97" spans="1:1" x14ac:dyDescent="0.3">
      <c r="A97" s="263" t="s">
        <v>163</v>
      </c>
    </row>
    <row r="98" spans="1:1" x14ac:dyDescent="0.3">
      <c r="A98" s="263" t="s">
        <v>157</v>
      </c>
    </row>
    <row r="99" spans="1:1" x14ac:dyDescent="0.3">
      <c r="A99" s="263" t="s">
        <v>153</v>
      </c>
    </row>
    <row r="100" spans="1:1" x14ac:dyDescent="0.3">
      <c r="A100" s="263" t="s">
        <v>155</v>
      </c>
    </row>
    <row r="101" spans="1:1" x14ac:dyDescent="0.3">
      <c r="A101" s="263" t="s">
        <v>154</v>
      </c>
    </row>
    <row r="102" spans="1:1" x14ac:dyDescent="0.3">
      <c r="A102" s="263" t="s">
        <v>168</v>
      </c>
    </row>
    <row r="103" spans="1:1" x14ac:dyDescent="0.3">
      <c r="A103" s="263" t="s">
        <v>158</v>
      </c>
    </row>
    <row r="104" spans="1:1" x14ac:dyDescent="0.3">
      <c r="A104" s="263" t="s">
        <v>159</v>
      </c>
    </row>
    <row r="105" spans="1:1" x14ac:dyDescent="0.3">
      <c r="A105" s="263" t="s">
        <v>156</v>
      </c>
    </row>
    <row r="106" spans="1:1" x14ac:dyDescent="0.3">
      <c r="A106" s="263" t="s">
        <v>164</v>
      </c>
    </row>
    <row r="107" spans="1:1" x14ac:dyDescent="0.3">
      <c r="A107" s="263" t="s">
        <v>162</v>
      </c>
    </row>
    <row r="108" spans="1:1" x14ac:dyDescent="0.3">
      <c r="A108" s="263" t="s">
        <v>167</v>
      </c>
    </row>
    <row r="111" spans="1:1" x14ac:dyDescent="0.3">
      <c r="A111" s="260" t="s">
        <v>215</v>
      </c>
    </row>
    <row r="112" spans="1:1" ht="28" x14ac:dyDescent="0.3">
      <c r="A112" s="270" t="s">
        <v>216</v>
      </c>
    </row>
    <row r="113" spans="1:1" ht="42" x14ac:dyDescent="0.3">
      <c r="A113" s="270" t="s">
        <v>217</v>
      </c>
    </row>
    <row r="114" spans="1:1" ht="28" x14ac:dyDescent="0.3">
      <c r="A114" s="270" t="s">
        <v>218</v>
      </c>
    </row>
    <row r="115" spans="1:1" ht="42" x14ac:dyDescent="0.3">
      <c r="A115" s="270" t="s">
        <v>219</v>
      </c>
    </row>
    <row r="116" spans="1:1" ht="28" x14ac:dyDescent="0.3">
      <c r="A116" s="270" t="s">
        <v>220</v>
      </c>
    </row>
    <row r="117" spans="1:1" ht="28" x14ac:dyDescent="0.3">
      <c r="A117" s="270" t="s">
        <v>221</v>
      </c>
    </row>
    <row r="118" spans="1:1" ht="28" x14ac:dyDescent="0.3">
      <c r="A118" s="270" t="s">
        <v>222</v>
      </c>
    </row>
    <row r="119" spans="1:1" ht="42" x14ac:dyDescent="0.3">
      <c r="A119" s="270" t="s">
        <v>223</v>
      </c>
    </row>
    <row r="120" spans="1:1" ht="42" x14ac:dyDescent="0.3">
      <c r="A120" s="270" t="s">
        <v>224</v>
      </c>
    </row>
    <row r="121" spans="1:1" x14ac:dyDescent="0.3">
      <c r="A121" s="270" t="s">
        <v>225</v>
      </c>
    </row>
    <row r="122" spans="1:1" ht="28" x14ac:dyDescent="0.3">
      <c r="A122" s="270" t="s">
        <v>226</v>
      </c>
    </row>
    <row r="123" spans="1:1" ht="28" x14ac:dyDescent="0.3">
      <c r="A123" s="270" t="s">
        <v>227</v>
      </c>
    </row>
    <row r="124" spans="1:1" ht="28" x14ac:dyDescent="0.3">
      <c r="A124" s="270" t="s">
        <v>228</v>
      </c>
    </row>
    <row r="125" spans="1:1" ht="42" x14ac:dyDescent="0.3">
      <c r="A125" s="270" t="s">
        <v>229</v>
      </c>
    </row>
    <row r="126" spans="1:1" ht="70" x14ac:dyDescent="0.3">
      <c r="A126" s="270" t="s">
        <v>230</v>
      </c>
    </row>
    <row r="127" spans="1:1" ht="56" x14ac:dyDescent="0.3">
      <c r="A127" s="270" t="s">
        <v>231</v>
      </c>
    </row>
    <row r="128" spans="1:1" ht="28" x14ac:dyDescent="0.3">
      <c r="A128" s="270" t="s">
        <v>232</v>
      </c>
    </row>
    <row r="130" spans="1:1" x14ac:dyDescent="0.3">
      <c r="A130" s="260" t="s">
        <v>233</v>
      </c>
    </row>
    <row r="131" spans="1:1" x14ac:dyDescent="0.3">
      <c r="A131" s="271"/>
    </row>
    <row r="132" spans="1:1" x14ac:dyDescent="0.3">
      <c r="A132" s="263" t="s">
        <v>234</v>
      </c>
    </row>
    <row r="133" spans="1:1" x14ac:dyDescent="0.3">
      <c r="A133" s="263" t="s">
        <v>235</v>
      </c>
    </row>
    <row r="134" spans="1:1" x14ac:dyDescent="0.3">
      <c r="A134" s="263" t="s">
        <v>236</v>
      </c>
    </row>
    <row r="135" spans="1:1" x14ac:dyDescent="0.3">
      <c r="A135" s="263" t="s">
        <v>237</v>
      </c>
    </row>
    <row r="136" spans="1:1" x14ac:dyDescent="0.3">
      <c r="A136" s="263" t="s">
        <v>238</v>
      </c>
    </row>
    <row r="137" spans="1:1" x14ac:dyDescent="0.3">
      <c r="A137" s="263" t="s">
        <v>239</v>
      </c>
    </row>
    <row r="138" spans="1:1" x14ac:dyDescent="0.3">
      <c r="A138" s="263" t="s">
        <v>240</v>
      </c>
    </row>
    <row r="139" spans="1:1" x14ac:dyDescent="0.3">
      <c r="A139" s="263" t="s">
        <v>241</v>
      </c>
    </row>
    <row r="140" spans="1:1" x14ac:dyDescent="0.3">
      <c r="A140" s="263" t="s">
        <v>5</v>
      </c>
    </row>
    <row r="142" spans="1:1" x14ac:dyDescent="0.3">
      <c r="A142" s="260" t="s">
        <v>242</v>
      </c>
    </row>
    <row r="143" spans="1:1" x14ac:dyDescent="0.3">
      <c r="A143" s="260"/>
    </row>
    <row r="144" spans="1:1" x14ac:dyDescent="0.3">
      <c r="A144" s="272" t="s">
        <v>243</v>
      </c>
    </row>
    <row r="145" spans="1:1" ht="28" x14ac:dyDescent="0.3">
      <c r="A145" s="272" t="s">
        <v>244</v>
      </c>
    </row>
    <row r="146" spans="1:1" ht="28" x14ac:dyDescent="0.3">
      <c r="A146" s="272" t="s">
        <v>245</v>
      </c>
    </row>
    <row r="147" spans="1:1" ht="28" x14ac:dyDescent="0.3">
      <c r="A147" s="272" t="s">
        <v>246</v>
      </c>
    </row>
    <row r="148" spans="1:1" x14ac:dyDescent="0.3">
      <c r="A148" s="272" t="s">
        <v>247</v>
      </c>
    </row>
    <row r="149" spans="1:1" x14ac:dyDescent="0.3">
      <c r="A149" s="272" t="s">
        <v>248</v>
      </c>
    </row>
    <row r="150" spans="1:1" x14ac:dyDescent="0.3">
      <c r="A150" s="272" t="s">
        <v>249</v>
      </c>
    </row>
    <row r="151" spans="1:1" ht="42" x14ac:dyDescent="0.3">
      <c r="A151" s="272" t="s">
        <v>250</v>
      </c>
    </row>
    <row r="152" spans="1:1" ht="42" x14ac:dyDescent="0.3">
      <c r="A152" s="272" t="s">
        <v>251</v>
      </c>
    </row>
    <row r="153" spans="1:1" ht="28" x14ac:dyDescent="0.3">
      <c r="A153" s="272" t="s">
        <v>252</v>
      </c>
    </row>
    <row r="154" spans="1:1" ht="28" x14ac:dyDescent="0.3">
      <c r="A154" s="272" t="s">
        <v>253</v>
      </c>
    </row>
    <row r="155" spans="1:1" ht="28" x14ac:dyDescent="0.3">
      <c r="A155" s="272" t="s">
        <v>254</v>
      </c>
    </row>
    <row r="156" spans="1:1" x14ac:dyDescent="0.3">
      <c r="A156" s="272" t="s">
        <v>255</v>
      </c>
    </row>
    <row r="157" spans="1:1" x14ac:dyDescent="0.3">
      <c r="A157" s="272" t="s">
        <v>256</v>
      </c>
    </row>
    <row r="158" spans="1:1" x14ac:dyDescent="0.3">
      <c r="A158" s="272" t="s">
        <v>257</v>
      </c>
    </row>
    <row r="159" spans="1:1" x14ac:dyDescent="0.3">
      <c r="A159" s="272" t="s">
        <v>258</v>
      </c>
    </row>
    <row r="160" spans="1:1" x14ac:dyDescent="0.3">
      <c r="A160" s="272" t="s">
        <v>259</v>
      </c>
    </row>
    <row r="161" spans="1:1" x14ac:dyDescent="0.3">
      <c r="A161" s="272" t="s">
        <v>260</v>
      </c>
    </row>
    <row r="162" spans="1:1" x14ac:dyDescent="0.3">
      <c r="A162" s="272" t="s">
        <v>261</v>
      </c>
    </row>
    <row r="163" spans="1:1" x14ac:dyDescent="0.3">
      <c r="A163" s="272" t="s">
        <v>262</v>
      </c>
    </row>
    <row r="164" spans="1:1" ht="28" x14ac:dyDescent="0.3">
      <c r="A164" s="272" t="s">
        <v>263</v>
      </c>
    </row>
    <row r="165" spans="1:1" ht="28" x14ac:dyDescent="0.3">
      <c r="A165" s="272" t="s">
        <v>264</v>
      </c>
    </row>
    <row r="166" spans="1:1" ht="28" x14ac:dyDescent="0.3">
      <c r="A166" s="272" t="s">
        <v>265</v>
      </c>
    </row>
    <row r="167" spans="1:1" x14ac:dyDescent="0.3">
      <c r="A167" s="272" t="s">
        <v>266</v>
      </c>
    </row>
    <row r="168" spans="1:1" x14ac:dyDescent="0.3">
      <c r="A168" s="272" t="s">
        <v>267</v>
      </c>
    </row>
    <row r="169" spans="1:1" x14ac:dyDescent="0.3">
      <c r="A169" s="272" t="s">
        <v>268</v>
      </c>
    </row>
    <row r="170" spans="1:1" x14ac:dyDescent="0.3">
      <c r="A170" s="272" t="s">
        <v>269</v>
      </c>
    </row>
    <row r="171" spans="1:1" x14ac:dyDescent="0.3">
      <c r="A171" s="272" t="s">
        <v>270</v>
      </c>
    </row>
    <row r="172" spans="1:1" x14ac:dyDescent="0.3">
      <c r="A172" s="272" t="s">
        <v>271</v>
      </c>
    </row>
    <row r="173" spans="1:1" x14ac:dyDescent="0.3">
      <c r="A173" s="272" t="s">
        <v>272</v>
      </c>
    </row>
    <row r="174" spans="1:1" x14ac:dyDescent="0.3">
      <c r="A174" s="272" t="s">
        <v>273</v>
      </c>
    </row>
    <row r="175" spans="1:1" ht="28" x14ac:dyDescent="0.3">
      <c r="A175" s="272" t="s">
        <v>274</v>
      </c>
    </row>
    <row r="176" spans="1:1" x14ac:dyDescent="0.3">
      <c r="A176" s="272" t="s">
        <v>275</v>
      </c>
    </row>
    <row r="177" spans="1:1" x14ac:dyDescent="0.3">
      <c r="A177" s="272" t="s">
        <v>276</v>
      </c>
    </row>
    <row r="178" spans="1:1" x14ac:dyDescent="0.3">
      <c r="A178" s="272" t="s">
        <v>277</v>
      </c>
    </row>
    <row r="179" spans="1:1" x14ac:dyDescent="0.3">
      <c r="A179" s="272" t="s">
        <v>278</v>
      </c>
    </row>
    <row r="180" spans="1:1" x14ac:dyDescent="0.3">
      <c r="A180" s="272" t="s">
        <v>279</v>
      </c>
    </row>
    <row r="181" spans="1:1" x14ac:dyDescent="0.3">
      <c r="A181" s="272" t="s">
        <v>280</v>
      </c>
    </row>
    <row r="182" spans="1:1" x14ac:dyDescent="0.3">
      <c r="A182" s="272" t="s">
        <v>281</v>
      </c>
    </row>
    <row r="183" spans="1:1" x14ac:dyDescent="0.3">
      <c r="A183" s="272" t="s">
        <v>282</v>
      </c>
    </row>
    <row r="184" spans="1:1" x14ac:dyDescent="0.3">
      <c r="A184" s="272" t="s">
        <v>283</v>
      </c>
    </row>
    <row r="185" spans="1:1" x14ac:dyDescent="0.3">
      <c r="A185" s="272" t="s">
        <v>284</v>
      </c>
    </row>
    <row r="186" spans="1:1" x14ac:dyDescent="0.3">
      <c r="A186" s="272" t="s">
        <v>285</v>
      </c>
    </row>
    <row r="187" spans="1:1" x14ac:dyDescent="0.3">
      <c r="A187" s="272" t="s">
        <v>286</v>
      </c>
    </row>
    <row r="188" spans="1:1" ht="28" x14ac:dyDescent="0.3">
      <c r="A188" s="272" t="s">
        <v>287</v>
      </c>
    </row>
    <row r="189" spans="1:1" ht="28" x14ac:dyDescent="0.3">
      <c r="A189" s="272" t="s">
        <v>288</v>
      </c>
    </row>
    <row r="190" spans="1:1" x14ac:dyDescent="0.3">
      <c r="A190" s="272" t="s">
        <v>289</v>
      </c>
    </row>
    <row r="191" spans="1:1" x14ac:dyDescent="0.3">
      <c r="A191" s="272" t="s">
        <v>290</v>
      </c>
    </row>
    <row r="192" spans="1:1" x14ac:dyDescent="0.3">
      <c r="A192" s="272" t="s">
        <v>5</v>
      </c>
    </row>
    <row r="194" spans="1:2" x14ac:dyDescent="0.3">
      <c r="A194" s="260" t="s">
        <v>291</v>
      </c>
    </row>
    <row r="196" spans="1:2" ht="15.5" x14ac:dyDescent="0.3">
      <c r="A196" s="272" t="s">
        <v>292</v>
      </c>
      <c r="B196" s="259"/>
    </row>
    <row r="197" spans="1:2" ht="29.25" customHeight="1" x14ac:dyDescent="0.3">
      <c r="A197" s="272" t="s">
        <v>293</v>
      </c>
      <c r="B197" s="259"/>
    </row>
    <row r="198" spans="1:2" ht="28" x14ac:dyDescent="0.3">
      <c r="A198" s="272" t="s">
        <v>294</v>
      </c>
      <c r="B198" s="259"/>
    </row>
    <row r="199" spans="1:2" ht="15.5" x14ac:dyDescent="0.3">
      <c r="A199" s="272" t="s">
        <v>295</v>
      </c>
      <c r="B199" s="259"/>
    </row>
    <row r="200" spans="1:2" ht="15.5" x14ac:dyDescent="0.3">
      <c r="A200" s="272" t="s">
        <v>296</v>
      </c>
      <c r="B200" s="259"/>
    </row>
    <row r="202" spans="1:2" x14ac:dyDescent="0.3">
      <c r="A202" s="260" t="s">
        <v>297</v>
      </c>
    </row>
    <row r="204" spans="1:2" ht="28" x14ac:dyDescent="0.3">
      <c r="A204" s="270" t="s">
        <v>298</v>
      </c>
      <c r="B204" s="259"/>
    </row>
    <row r="205" spans="1:2" ht="28" x14ac:dyDescent="0.3">
      <c r="A205" s="270" t="s">
        <v>299</v>
      </c>
      <c r="B205" s="259"/>
    </row>
    <row r="206" spans="1:2" ht="56" x14ac:dyDescent="0.3">
      <c r="A206" s="270" t="s">
        <v>300</v>
      </c>
      <c r="B206" s="259"/>
    </row>
    <row r="207" spans="1:2" x14ac:dyDescent="0.3">
      <c r="A207" s="270"/>
    </row>
    <row r="208" spans="1:2" x14ac:dyDescent="0.3">
      <c r="A208" s="270"/>
    </row>
    <row r="209" spans="1:2" x14ac:dyDescent="0.3">
      <c r="A209" s="260" t="s">
        <v>318</v>
      </c>
    </row>
    <row r="211" spans="1:2" ht="42" x14ac:dyDescent="0.3">
      <c r="A211" s="274" t="s">
        <v>338</v>
      </c>
      <c r="B211" s="259"/>
    </row>
    <row r="212" spans="1:2" ht="28" x14ac:dyDescent="0.3">
      <c r="A212" s="274" t="s">
        <v>339</v>
      </c>
      <c r="B212" s="259"/>
    </row>
    <row r="213" spans="1:2" ht="28" x14ac:dyDescent="0.3">
      <c r="A213" s="274" t="s">
        <v>340</v>
      </c>
      <c r="B213" s="259"/>
    </row>
    <row r="214" spans="1:2" ht="15.5" x14ac:dyDescent="0.3">
      <c r="A214" s="274" t="s">
        <v>341</v>
      </c>
      <c r="B214" s="259"/>
    </row>
    <row r="215" spans="1:2" ht="28" x14ac:dyDescent="0.3">
      <c r="A215" s="274" t="s">
        <v>342</v>
      </c>
      <c r="B215" s="259"/>
    </row>
    <row r="216" spans="1:2" ht="28" x14ac:dyDescent="0.3">
      <c r="A216" s="274" t="s">
        <v>343</v>
      </c>
      <c r="B216" s="259"/>
    </row>
    <row r="217" spans="1:2" ht="28" x14ac:dyDescent="0.3">
      <c r="A217" s="274" t="s">
        <v>344</v>
      </c>
      <c r="B217" s="259"/>
    </row>
    <row r="218" spans="1:2" ht="28" x14ac:dyDescent="0.3">
      <c r="A218" s="274" t="s">
        <v>345</v>
      </c>
      <c r="B218" s="259"/>
    </row>
    <row r="219" spans="1:2" x14ac:dyDescent="0.3">
      <c r="A219" s="270"/>
    </row>
    <row r="220" spans="1:2" x14ac:dyDescent="0.3">
      <c r="A220" s="270"/>
    </row>
    <row r="221" spans="1:2" x14ac:dyDescent="0.3">
      <c r="A221" s="270"/>
    </row>
    <row r="222" spans="1:2" x14ac:dyDescent="0.3">
      <c r="A222" s="270"/>
    </row>
    <row r="223" spans="1:2" x14ac:dyDescent="0.3">
      <c r="A223" s="270"/>
    </row>
    <row r="224" spans="1:2" x14ac:dyDescent="0.3">
      <c r="A224" s="270"/>
    </row>
    <row r="227" spans="1:1" x14ac:dyDescent="0.3">
      <c r="A227" s="260" t="s">
        <v>301</v>
      </c>
    </row>
    <row r="228" spans="1:1" x14ac:dyDescent="0.3">
      <c r="A228" s="200" t="s">
        <v>302</v>
      </c>
    </row>
    <row r="229" spans="1:1" x14ac:dyDescent="0.3">
      <c r="A229" s="200" t="s">
        <v>303</v>
      </c>
    </row>
    <row r="230" spans="1:1" x14ac:dyDescent="0.3">
      <c r="A230" s="200" t="s">
        <v>304</v>
      </c>
    </row>
    <row r="231" spans="1:1" x14ac:dyDescent="0.3">
      <c r="A231" s="200" t="s">
        <v>305</v>
      </c>
    </row>
    <row r="232" spans="1:1" x14ac:dyDescent="0.3">
      <c r="A232" s="200" t="s">
        <v>306</v>
      </c>
    </row>
  </sheetData>
  <sortState xmlns:xlrd2="http://schemas.microsoft.com/office/spreadsheetml/2017/richdata2" ref="A116:A123">
    <sortCondition ref="A116"/>
  </sortState>
  <phoneticPr fontId="34" type="noConversion"/>
  <pageMargins left="0.7" right="0.7" top="0.75" bottom="0.75" header="0.3" footer="0.3"/>
  <pageSetup paperSize="9" scale="9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ce5135-a4d3-4a60-9c96-5ccb7065c49c">
      <Terms xmlns="http://schemas.microsoft.com/office/infopath/2007/PartnerControls"/>
    </lcf76f155ced4ddcb4097134ff3c332f>
    <TaxCatchAll xmlns="68fe6977-8d80-4ca8-a34f-c3f0389523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81BE33ED45E074BA32E1A05197A349A" ma:contentTypeVersion="17" ma:contentTypeDescription="Crear nuevo documento." ma:contentTypeScope="" ma:versionID="bf3252b4b49b1596e1b48f86f3370c35">
  <xsd:schema xmlns:xsd="http://www.w3.org/2001/XMLSchema" xmlns:xs="http://www.w3.org/2001/XMLSchema" xmlns:p="http://schemas.microsoft.com/office/2006/metadata/properties" xmlns:ns2="1ace5135-a4d3-4a60-9c96-5ccb7065c49c" xmlns:ns3="68fe6977-8d80-4ca8-a34f-c3f03895231f" targetNamespace="http://schemas.microsoft.com/office/2006/metadata/properties" ma:root="true" ma:fieldsID="29e5a7d928f298c6b8355ad7c98fd4fe" ns2:_="" ns3:_="">
    <xsd:import namespace="1ace5135-a4d3-4a60-9c96-5ccb7065c49c"/>
    <xsd:import namespace="68fe6977-8d80-4ca8-a34f-c3f03895231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SearchPropertie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ce5135-a4d3-4a60-9c96-5ccb7065c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f62b695-6f5b-4a08-a5b6-50b396a20e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fe6977-8d80-4ca8-a34f-c3f03895231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618f6d5-8b13-408c-824b-65ee77a5f201}" ma:internalName="TaxCatchAll" ma:showField="CatchAllData" ma:web="68fe6977-8d80-4ca8-a34f-c3f0389523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66AFD7-9EB7-4A46-A537-654BFBBD98EF}">
  <ds:schemaRefs>
    <ds:schemaRef ds:uri="http://schemas.microsoft.com/office/2006/metadata/properties"/>
    <ds:schemaRef ds:uri="http://schemas.microsoft.com/office/infopath/2007/PartnerControls"/>
    <ds:schemaRef ds:uri="1ace5135-a4d3-4a60-9c96-5ccb7065c49c"/>
    <ds:schemaRef ds:uri="68fe6977-8d80-4ca8-a34f-c3f03895231f"/>
  </ds:schemaRefs>
</ds:datastoreItem>
</file>

<file path=customXml/itemProps2.xml><?xml version="1.0" encoding="utf-8"?>
<ds:datastoreItem xmlns:ds="http://schemas.openxmlformats.org/officeDocument/2006/customXml" ds:itemID="{AE286CBE-16C6-463D-B2F3-6E64B5B956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ce5135-a4d3-4a60-9c96-5ccb7065c49c"/>
    <ds:schemaRef ds:uri="68fe6977-8d80-4ca8-a34f-c3f0389523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02A80F-E056-4026-AC80-276905E9B6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120</vt:i4>
      </vt:variant>
    </vt:vector>
  </HeadingPairs>
  <TitlesOfParts>
    <vt:vector size="126" baseType="lpstr">
      <vt:lpstr>Formato</vt:lpstr>
      <vt:lpstr>Tabla Presupuesto Personal</vt:lpstr>
      <vt:lpstr>Tablas Presupuesto Detallado</vt:lpstr>
      <vt:lpstr>Presupuesto global</vt:lpstr>
      <vt:lpstr>Control de cambios</vt:lpstr>
      <vt:lpstr>Listas</vt:lpstr>
      <vt:lpstr>año</vt:lpstr>
      <vt:lpstr>Año_acarre</vt:lpstr>
      <vt:lpstr>año_actual</vt:lpstr>
      <vt:lpstr>Año_adec</vt:lpstr>
      <vt:lpstr>Año_arrend</vt:lpstr>
      <vt:lpstr>Año_aud</vt:lpstr>
      <vt:lpstr>Año_avisos</vt:lpstr>
      <vt:lpstr>Año_capac</vt:lpstr>
      <vt:lpstr>Año_cómp</vt:lpstr>
      <vt:lpstr>Año_elelab</vt:lpstr>
      <vt:lpstr>Año_equipos</vt:lpstr>
      <vt:lpstr>Año_gasimpo</vt:lpstr>
      <vt:lpstr>Año_herra</vt:lpstr>
      <vt:lpstr>Año_libros</vt:lpstr>
      <vt:lpstr>Año_licencias</vt:lpstr>
      <vt:lpstr>Año_mont</vt:lpstr>
      <vt:lpstr>Año_mue</vt:lpstr>
      <vt:lpstr>Año_ofi</vt:lpstr>
      <vt:lpstr>Año_otgadm</vt:lpstr>
      <vt:lpstr>Año_otros</vt:lpstr>
      <vt:lpstr>Año_otrosrubros</vt:lpstr>
      <vt:lpstr>Año_papelería</vt:lpstr>
      <vt:lpstr>Año_personal</vt:lpstr>
      <vt:lpstr>Año_portes</vt:lpstr>
      <vt:lpstr>Año_prácticas</vt:lpstr>
      <vt:lpstr>Año_reactivos</vt:lpstr>
      <vt:lpstr>Año_reparar</vt:lpstr>
      <vt:lpstr>Año_segur</vt:lpstr>
      <vt:lpstr>año_siguiente</vt:lpstr>
      <vt:lpstr>Año_ST</vt:lpstr>
      <vt:lpstr>año_subsiguiente</vt:lpstr>
      <vt:lpstr>Año_viajes</vt:lpstr>
      <vt:lpstr>Aproxsml2020</vt:lpstr>
      <vt:lpstr>Aproxsml2021</vt:lpstr>
      <vt:lpstr>Aproxsml2022</vt:lpstr>
      <vt:lpstr>Aproxsml2024</vt:lpstr>
      <vt:lpstr>aproxsmlmv2019</vt:lpstr>
      <vt:lpstr>aproxsmlmv2020</vt:lpstr>
      <vt:lpstr>aproxsmlmv2021</vt:lpstr>
      <vt:lpstr>aproxsmlmv2023</vt:lpstr>
      <vt:lpstr>Formato!Área_de_impresión</vt:lpstr>
      <vt:lpstr>'Presupuesto global'!Área_de_impresión</vt:lpstr>
      <vt:lpstr>'Tabla Presupuesto Personal'!Área_de_impresión</vt:lpstr>
      <vt:lpstr>'Tablas Presupuesto Detallado'!Área_de_impresión</vt:lpstr>
      <vt:lpstr>ef_viajes</vt:lpstr>
      <vt:lpstr>Efe_equipo</vt:lpstr>
      <vt:lpstr>efec_libros</vt:lpstr>
      <vt:lpstr>efec_licen</vt:lpstr>
      <vt:lpstr>efec_papel</vt:lpstr>
      <vt:lpstr>efec_practicas</vt:lpstr>
      <vt:lpstr>efec_reacti</vt:lpstr>
      <vt:lpstr>efec_reparar</vt:lpstr>
      <vt:lpstr>Efec_STOTRA</vt:lpstr>
      <vt:lpstr>efec_STUIS</vt:lpstr>
      <vt:lpstr>efectivo_uis</vt:lpstr>
      <vt:lpstr>Entidad_finan</vt:lpstr>
      <vt:lpstr>esp_libr</vt:lpstr>
      <vt:lpstr>esp_licenc</vt:lpstr>
      <vt:lpstr>esp_pract</vt:lpstr>
      <vt:lpstr>esp_react</vt:lpstr>
      <vt:lpstr>esp_reparar</vt:lpstr>
      <vt:lpstr>Esp_STOTRA</vt:lpstr>
      <vt:lpstr>Esp_STUIS</vt:lpstr>
      <vt:lpstr>esp_viajes</vt:lpstr>
      <vt:lpstr>espe_papel</vt:lpstr>
      <vt:lpstr>espec_equi</vt:lpstr>
      <vt:lpstr>especie_uis</vt:lpstr>
      <vt:lpstr>listaotrosrubros</vt:lpstr>
      <vt:lpstr>ot_efe_via</vt:lpstr>
      <vt:lpstr>ot_efec_lice</vt:lpstr>
      <vt:lpstr>ot_efec_pape</vt:lpstr>
      <vt:lpstr>ot_es_lice</vt:lpstr>
      <vt:lpstr>ot_es_prac</vt:lpstr>
      <vt:lpstr>ot_es_viaj</vt:lpstr>
      <vt:lpstr>ot_esp_papel</vt:lpstr>
      <vt:lpstr>otr_efe_equ</vt:lpstr>
      <vt:lpstr>otr_efec_libro</vt:lpstr>
      <vt:lpstr>otr_efec_otr</vt:lpstr>
      <vt:lpstr>otr_efec_prac</vt:lpstr>
      <vt:lpstr>otr_efec_repara</vt:lpstr>
      <vt:lpstr>otr_es_equ</vt:lpstr>
      <vt:lpstr>otr_esp_libro</vt:lpstr>
      <vt:lpstr>otr_esp_repa</vt:lpstr>
      <vt:lpstr>otra_efec_react</vt:lpstr>
      <vt:lpstr>otra_esp_reac</vt:lpstr>
      <vt:lpstr>otras_efectivo</vt:lpstr>
      <vt:lpstr>otras_especie</vt:lpstr>
      <vt:lpstr>Otro_Es_otro</vt:lpstr>
      <vt:lpstr>otro_es_UIS</vt:lpstr>
      <vt:lpstr>otrosefec_uis</vt:lpstr>
      <vt:lpstr>otrosrubros</vt:lpstr>
      <vt:lpstr>otrosrubrosfi</vt:lpstr>
      <vt:lpstr>Riesgos_estudiantes</vt:lpstr>
      <vt:lpstr>rubro</vt:lpstr>
      <vt:lpstr>rubro_compra</vt:lpstr>
      <vt:lpstr>rubro_personal</vt:lpstr>
      <vt:lpstr>rubro_viajes</vt:lpstr>
      <vt:lpstr>smlmv_2020</vt:lpstr>
      <vt:lpstr>smlmv_2021__estimado</vt:lpstr>
      <vt:lpstr>smlmv_2022</vt:lpstr>
      <vt:lpstr>smlmv_2022__estimado</vt:lpstr>
      <vt:lpstr>smlmv_2023__estimado</vt:lpstr>
      <vt:lpstr>smlmv_2024__estimado</vt:lpstr>
      <vt:lpstr>smlmv2018</vt:lpstr>
      <vt:lpstr>smlmv2019</vt:lpstr>
      <vt:lpstr>smlmv2020</vt:lpstr>
      <vt:lpstr>smlmv2022</vt:lpstr>
      <vt:lpstr>Tarifa1</vt:lpstr>
      <vt:lpstr>Tarifa2</vt:lpstr>
      <vt:lpstr>Tarifa3</vt:lpstr>
      <vt:lpstr>Tarifa4</vt:lpstr>
      <vt:lpstr>Tarifa5</vt:lpstr>
      <vt:lpstr>TipoFinan</vt:lpstr>
      <vt:lpstr>TipoR1</vt:lpstr>
      <vt:lpstr>TipoR2</vt:lpstr>
      <vt:lpstr>TipoR3</vt:lpstr>
      <vt:lpstr>TipoR4</vt:lpstr>
      <vt:lpstr>TipoR5</vt:lpstr>
      <vt:lpstr>Formato!Títulos_a_imprimir</vt:lpstr>
      <vt:lpstr>Vl_riesgos_est</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VIE</dc:creator>
  <cp:keywords/>
  <dc:description/>
  <cp:lastModifiedBy>Director CEDEDUIS</cp:lastModifiedBy>
  <cp:revision/>
  <dcterms:created xsi:type="dcterms:W3CDTF">2017-09-21T14:19:55Z</dcterms:created>
  <dcterms:modified xsi:type="dcterms:W3CDTF">2026-03-01T13:14:35Z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0x010100D81BE33ED45E074BA32E1A05197A349A</vt:lpwstr>
  </property>
  <property fmtid="{D5CDD505-2E9C-101B-9397-08002B2CF9AE}" pid="3" name="MediaServiceImageTags">
    <vt:lpwstr/>
  </property>
</Properties>
</file>