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checkCompatibility="1" defaultThemeVersion="124226"/>
  <mc:AlternateContent xmlns:mc="http://schemas.openxmlformats.org/markup-compatibility/2006">
    <mc:Choice Requires="x15">
      <x15ac:absPath xmlns:x15ac="http://schemas.microsoft.com/office/spreadsheetml/2010/11/ac" url="C:\Archivos oficina DCIEG\2025\Pormenorizado CI\I_2025\"/>
    </mc:Choice>
  </mc:AlternateContent>
  <xr:revisionPtr revIDLastSave="0" documentId="13_ncr:1_{C8FD1B50-888B-47B1-9AD3-06C539986F11}" xr6:coauthVersionLast="47" xr6:coauthVersionMax="47" xr10:uidLastSave="{00000000-0000-0000-0000-000000000000}"/>
  <bookViews>
    <workbookView xWindow="-120" yWindow="-120" windowWidth="29040" windowHeight="15720" tabRatio="914" activeTab="8" xr2:uid="{00000000-000D-0000-FFFF-FFFF00000000}"/>
  </bookViews>
  <sheets>
    <sheet name="Instructivo" sheetId="23" r:id="rId1"/>
    <sheet name="Definiciones" sheetId="22" r:id="rId2"/>
    <sheet name="Ambiente de Control" sheetId="24" r:id="rId3"/>
    <sheet name="Evaluación de riesgos" sheetId="18" r:id="rId4"/>
    <sheet name="Actividades de control" sheetId="17" r:id="rId5"/>
    <sheet name="Info y Comunicación" sheetId="19" r:id="rId6"/>
    <sheet name="Actividades de Monitoreo" sheetId="20" r:id="rId7"/>
    <sheet name="Analisis de Resultados" sheetId="29" r:id="rId8"/>
    <sheet name="Conclusiones" sheetId="26" r:id="rId9"/>
    <sheet name="Hoja1" sheetId="28" state="hidden" r:id="rId10"/>
  </sheets>
  <externalReferences>
    <externalReference r:id="rId11"/>
  </externalReferences>
  <definedNames>
    <definedName name="\0" localSheetId="7">#REF!</definedName>
    <definedName name="\0">#REF!</definedName>
    <definedName name="\BD" localSheetId="7">#REF!</definedName>
    <definedName name="\BD">#REF!</definedName>
    <definedName name="\BJ" localSheetId="7">#REF!</definedName>
    <definedName name="\BJ">#REF!</definedName>
    <definedName name="\BP" localSheetId="7">#REF!</definedName>
    <definedName name="\BP">#REF!</definedName>
    <definedName name="\CA" localSheetId="7">#REF!</definedName>
    <definedName name="\CA">#REF!</definedName>
    <definedName name="\i" localSheetId="7">#REF!</definedName>
    <definedName name="\i">#REF!</definedName>
    <definedName name="\m" localSheetId="7">#REF!</definedName>
    <definedName name="\m">#REF!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4" hidden="1">'Actividades de control'!$C$1:$C$122</definedName>
    <definedName name="_xlnm._FilterDatabase" localSheetId="7" hidden="1">'Analisis de Resultados'!$B$13:$V$95</definedName>
    <definedName name="_xlnm._FilterDatabase" localSheetId="3" hidden="1">'Evaluación de riesgos'!$C$5:$C$160</definedName>
    <definedName name="_xlnm._FilterDatabase" localSheetId="5" hidden="1">'Info y Comunicación'!$C$1:$C$138</definedName>
    <definedName name="_xlnm._FilterDatabase" hidden="1">#REF!</definedName>
    <definedName name="_Key1" localSheetId="7" hidden="1">#REF!</definedName>
    <definedName name="_Key1" hidden="1">#REF!</definedName>
    <definedName name="_Key2" localSheetId="7" hidden="1">#REF!</definedName>
    <definedName name="_Key2" hidden="1">#REF!</definedName>
    <definedName name="_Order1" hidden="1">255</definedName>
    <definedName name="_Order2" hidden="1">255</definedName>
    <definedName name="_Sort" localSheetId="7" hidden="1">#REF!</definedName>
    <definedName name="_Sort" hidden="1">#REF!</definedName>
    <definedName name="A_IMPRESIÓN_IM" localSheetId="7">#REF!</definedName>
    <definedName name="A_IMPRESIÓN_IM">#REF!</definedName>
    <definedName name="A205_" localSheetId="7">#REF!</definedName>
    <definedName name="A205_">#REF!</definedName>
    <definedName name="A242_" localSheetId="7">#REF!</definedName>
    <definedName name="A242_">#REF!</definedName>
    <definedName name="A255_" localSheetId="7">#REF!</definedName>
    <definedName name="A255_">#REF!</definedName>
    <definedName name="A498_" localSheetId="7">#REF!</definedName>
    <definedName name="A498_">#REF!</definedName>
    <definedName name="A534_">#N/A</definedName>
    <definedName name="A598_" localSheetId="7">#REF!</definedName>
    <definedName name="A598_">#REF!</definedName>
    <definedName name="A641_" localSheetId="7">#REF!</definedName>
    <definedName name="A641_">#REF!</definedName>
    <definedName name="A68_" localSheetId="7">#REF!</definedName>
    <definedName name="A68_">#REF!</definedName>
    <definedName name="A784_" localSheetId="7">#REF!</definedName>
    <definedName name="A784_">#REF!</definedName>
    <definedName name="Accounts" localSheetId="7">#REF!</definedName>
    <definedName name="Accounts">#REF!</definedName>
    <definedName name="Accrual___payment_of_dividends" localSheetId="7">#REF!</definedName>
    <definedName name="Accrual___payment_of_dividends">#REF!</definedName>
    <definedName name="ACT" localSheetId="7">#REF!</definedName>
    <definedName name="ACT">#REF!</definedName>
    <definedName name="AFANT" localSheetId="7">#REF!</definedName>
    <definedName name="AFANT">#REF!</definedName>
    <definedName name="AFHOY" localSheetId="7">#REF!</definedName>
    <definedName name="AFHOY">#REF!</definedName>
    <definedName name="ahaccionistas01" localSheetId="7">#REF!</definedName>
    <definedName name="ahaccionistas01">#REF!</definedName>
    <definedName name="AJPAAG" localSheetId="7">#REF!</definedName>
    <definedName name="AJPAAG">#REF!</definedName>
    <definedName name="Anexo" localSheetId="0" hidden="1">{"'para SB'!$A$1420:$F$1479"}</definedName>
    <definedName name="Anexo" hidden="1">{"'para SB'!$A$1420:$F$1479"}</definedName>
    <definedName name="año" localSheetId="7">#REF!</definedName>
    <definedName name="año">#REF!</definedName>
    <definedName name="AÑO_A_PROCESAR" localSheetId="7">#REF!</definedName>
    <definedName name="AÑO_A_PROCESAR">#REF!</definedName>
    <definedName name="año1" localSheetId="7">#REF!</definedName>
    <definedName name="año1">#REF!</definedName>
    <definedName name="AÑOS_A_PROCESAR" localSheetId="7">#REF!</definedName>
    <definedName name="AÑOS_A_PROCESAR">#REF!</definedName>
    <definedName name="AppName" localSheetId="7">#REF!</definedName>
    <definedName name="AppName">#REF!</definedName>
    <definedName name="_xlnm.Print_Area" localSheetId="7">#REF!</definedName>
    <definedName name="_xlnm.Print_Area" localSheetId="8">Conclusiones!$C$2:$N$33</definedName>
    <definedName name="_xlnm.Print_Area">#REF!</definedName>
    <definedName name="Área_de_impresión1" localSheetId="7">#REF!</definedName>
    <definedName name="Área_de_impresión1">#REF!</definedName>
    <definedName name="AS2DocOpenMode" hidden="1">"AS2DocumentEdit"</definedName>
    <definedName name="AS2ReportLS" hidden="1">1</definedName>
    <definedName name="AS2SyncStepLS" hidden="1">0</definedName>
    <definedName name="AS2TickmarkLS" localSheetId="7" hidden="1">#REF!</definedName>
    <definedName name="AS2TickmarkLS" hidden="1">#REF!</definedName>
    <definedName name="AS2VersionLS" hidden="1">300</definedName>
    <definedName name="ASFSD" localSheetId="7">#REF!</definedName>
    <definedName name="ASFSD">#REF!</definedName>
    <definedName name="Assertions" localSheetId="7">#REF!</definedName>
    <definedName name="Assertions">#REF!</definedName>
    <definedName name="BASE" localSheetId="7">#REF!</definedName>
    <definedName name="BASE">#REF!</definedName>
    <definedName name="BCE" localSheetId="7">#REF!</definedName>
    <definedName name="BCE">#REF!</definedName>
    <definedName name="BCEBONOS" localSheetId="7">#REF!</definedName>
    <definedName name="BCEBONOS">#REF!</definedName>
    <definedName name="BCECAMBIOS" localSheetId="7">#REF!</definedName>
    <definedName name="BCECAMBIOS">#REF!</definedName>
    <definedName name="BCEEMPRESA" localSheetId="7">#REF!</definedName>
    <definedName name="BCEEMPRESA">#REF!</definedName>
    <definedName name="BCERENTA" localSheetId="7">#REF!</definedName>
    <definedName name="BCERENTA">#REF!</definedName>
    <definedName name="BCETESOROS" localSheetId="7">#REF!</definedName>
    <definedName name="BCETESOROS">#REF!</definedName>
    <definedName name="BG_Del" hidden="1">15</definedName>
    <definedName name="BG_Ins" hidden="1">4</definedName>
    <definedName name="BG_Mod" hidden="1">6</definedName>
    <definedName name="BLOQUE" localSheetId="7">#REF!</definedName>
    <definedName name="BLOQUE">#REF!</definedName>
    <definedName name="BuiltIn_Print_Area___0" localSheetId="7">#REF!</definedName>
    <definedName name="BuiltIn_Print_Area___0">#REF!</definedName>
    <definedName name="BuiltIn_Print_Titles___0" localSheetId="7">#REF!</definedName>
    <definedName name="BuiltIn_Print_Titles___0">#REF!</definedName>
    <definedName name="CAR" localSheetId="7">#REF!</definedName>
    <definedName name="CAR">#REF!</definedName>
    <definedName name="CAVR" localSheetId="7">#REF!</definedName>
    <definedName name="CAVR">#REF!</definedName>
    <definedName name="cdtaccinistas01" localSheetId="7">#REF!</definedName>
    <definedName name="cdtaccinistas01">#REF!</definedName>
    <definedName name="CO.Otros_Cuentas" localSheetId="7">#REF!</definedName>
    <definedName name="CO.Otros_Cuentas">#REF!</definedName>
    <definedName name="CO.Otros_Monto" localSheetId="7">#REF!</definedName>
    <definedName name="CO.Otros_Monto">#REF!</definedName>
    <definedName name="CO.Riesgo_Cuentas" localSheetId="7">#REF!</definedName>
    <definedName name="CO.Riesgo_Cuentas">#REF!</definedName>
    <definedName name="CO.Riesgo_Monto" localSheetId="7">#REF!</definedName>
    <definedName name="CO.Riesgo_Monto">#REF!</definedName>
    <definedName name="CO.Tesoreria_Cuentas" localSheetId="7">#REF!</definedName>
    <definedName name="CO.Tesoreria_Cuentas">#REF!</definedName>
    <definedName name="COMP3CM" localSheetId="7">#REF!,#REF!,#REF!,#REF!,#REF!</definedName>
    <definedName name="COMP3CM">#REF!,#REF!,#REF!,#REF!,#REF!</definedName>
    <definedName name="COMP3PM" localSheetId="7">#REF!,#REF!,#REF!,#REF!</definedName>
    <definedName name="COMP3PM">#REF!,#REF!,#REF!,#REF!</definedName>
    <definedName name="COMP3PY" localSheetId="7">#REF!,#REF!,#REF!,#REF!,#REF!</definedName>
    <definedName name="COMP3PY">#REF!,#REF!,#REF!,#REF!,#REF!</definedName>
    <definedName name="COMPCM" localSheetId="7">#REF!,#REF!,#REF!,#REF!,#REF!,#REF!,#REF!</definedName>
    <definedName name="COMPCM">#REF!,#REF!,#REF!,#REF!,#REF!,#REF!,#REF!</definedName>
    <definedName name="COMPPM" localSheetId="7">#REF!,#REF!,#REF!,#REF!,#REF!,#REF!,#REF!</definedName>
    <definedName name="COMPPM">#REF!,#REF!,#REF!,#REF!,#REF!,#REF!,#REF!</definedName>
    <definedName name="COMPPY" localSheetId="7">#REF!,#REF!,#REF!,#REF!,#REF!,#REF!,#REF!,#REF!</definedName>
    <definedName name="COMPPY">#REF!,#REF!,#REF!,#REF!,#REF!,#REF!,#REF!,#REF!</definedName>
    <definedName name="con10_partic" localSheetId="7">#REF!</definedName>
    <definedName name="con10_partic">#REF!</definedName>
    <definedName name="conahdirectivos01" localSheetId="7">#REF!</definedName>
    <definedName name="conahdirectivos01">#REF!</definedName>
    <definedName name="conahojunta01" localSheetId="7">#REF!</definedName>
    <definedName name="conahojunta01">#REF!</definedName>
    <definedName name="concdtdirectivos01" localSheetId="7">#REF!</definedName>
    <definedName name="concdtdirectivos01">#REF!</definedName>
    <definedName name="concdtentidades01" localSheetId="7">#REF!</definedName>
    <definedName name="concdtentidades01">#REF!</definedName>
    <definedName name="conotros" localSheetId="7">#REF!</definedName>
    <definedName name="conotros">#REF!</definedName>
    <definedName name="CORDEN" localSheetId="7">#REF!</definedName>
    <definedName name="CORDEN">#REF!</definedName>
    <definedName name="CUENTA96" localSheetId="7">#REF!</definedName>
    <definedName name="CUENTA96">#REF!</definedName>
    <definedName name="Divide" localSheetId="7">#REF!</definedName>
    <definedName name="Divide">#REF!</definedName>
    <definedName name="ELIMEXT" localSheetId="7">#REF!</definedName>
    <definedName name="ELIMEXT">#REF!</definedName>
    <definedName name="ELIMINA" localSheetId="7">#REF!</definedName>
    <definedName name="ELIMINA">#REF!</definedName>
    <definedName name="entidades" localSheetId="7">#REF!</definedName>
    <definedName name="entidades">#REF!</definedName>
    <definedName name="EPIANDES" localSheetId="7">#REF!</definedName>
    <definedName name="EPIANDES">#REF!</definedName>
    <definedName name="ESTADOS_FINANCIEROS_A_PROCESAR" localSheetId="7">#REF!</definedName>
    <definedName name="ESTADOS_FINANCIEROS_A_PROCESAR">#REF!</definedName>
    <definedName name="ESTCAM" localSheetId="7">#REF!</definedName>
    <definedName name="ESTCAM">#REF!</definedName>
    <definedName name="ET" localSheetId="7">#REF!</definedName>
    <definedName name="ET">#REF!</definedName>
    <definedName name="gorr">"Botón 17"</definedName>
    <definedName name="HTML_CodePage" hidden="1">1252</definedName>
    <definedName name="HTML_Control" localSheetId="0" hidden="1">{"'para SB'!$A$1420:$F$1479"}</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 localSheetId="7">#REF!</definedName>
    <definedName name="INDI">#REF!</definedName>
    <definedName name="INDICACART" localSheetId="7">#REF!</definedName>
    <definedName name="INDICACART">#REF!</definedName>
    <definedName name="INVER" localSheetId="7">#REF!</definedName>
    <definedName name="INVER">#REF!</definedName>
    <definedName name="junio111" localSheetId="7">#REF!</definedName>
    <definedName name="junio111">#REF!</definedName>
    <definedName name="JUNTA" localSheetId="7">#REF!</definedName>
    <definedName name="JUNTA">#REF!</definedName>
    <definedName name="JUNTA1" localSheetId="7">#REF!</definedName>
    <definedName name="JUNTA1">#REF!</definedName>
    <definedName name="MC.PL_Cuentas" localSheetId="7">#REF!</definedName>
    <definedName name="MC.PL_Cuentas">#REF!</definedName>
    <definedName name="MC.PL_Monto" localSheetId="7">#REF!</definedName>
    <definedName name="MC.PL_Monto">#REF!</definedName>
    <definedName name="MESANT" localSheetId="7">#REF!</definedName>
    <definedName name="MESANT">#REF!</definedName>
    <definedName name="MESHOY" localSheetId="7">#REF!</definedName>
    <definedName name="MESHOY">#REF!</definedName>
    <definedName name="MultiSelectNames" localSheetId="7">#REF!</definedName>
    <definedName name="MultiSelectNames">#REF!</definedName>
    <definedName name="Nivel" localSheetId="7">#REF!</definedName>
    <definedName name="Nivel">#REF!</definedName>
    <definedName name="NOPUC" localSheetId="7">#REF!</definedName>
    <definedName name="NOPUC">#REF!</definedName>
    <definedName name="ORDEN1" localSheetId="7">#REF!</definedName>
    <definedName name="ORDEN1">#REF!</definedName>
    <definedName name="ORDEN2" localSheetId="7">#REF!</definedName>
    <definedName name="ORDEN2">#REF!</definedName>
    <definedName name="ORDEN3" localSheetId="7">#REF!</definedName>
    <definedName name="ORDEN3">#REF!</definedName>
    <definedName name="ORDEN4" localSheetId="7">#REF!</definedName>
    <definedName name="ORDEN4">#REF!</definedName>
    <definedName name="ORDEN5" localSheetId="7">#REF!</definedName>
    <definedName name="ORDEN5">#REF!</definedName>
    <definedName name="ORDEN6" localSheetId="7">#REF!</definedName>
    <definedName name="ORDEN6">#REF!</definedName>
    <definedName name="PAS" localSheetId="7">#REF!</definedName>
    <definedName name="PAS">#REF!</definedName>
    <definedName name="PAT" localSheetId="7">#REF!</definedName>
    <definedName name="PAT">#REF!</definedName>
    <definedName name="PRES" localSheetId="7">#REF!</definedName>
    <definedName name="PRES">#REF!</definedName>
    <definedName name="PRES1" localSheetId="7">#REF!</definedName>
    <definedName name="PRES1">#REF!</definedName>
    <definedName name="PUC" localSheetId="7">#REF!</definedName>
    <definedName name="PUC">#REF!</definedName>
    <definedName name="PYG" localSheetId="7">#REF!</definedName>
    <definedName name="PYG">#REF!</definedName>
    <definedName name="PYGBONOS" localSheetId="7">#REF!</definedName>
    <definedName name="PYGBONOS">#REF!</definedName>
    <definedName name="PYGCAMBIOS" localSheetId="7">#REF!</definedName>
    <definedName name="PYGCAMBIOS">#REF!</definedName>
    <definedName name="PYGRENTA" localSheetId="7">#REF!</definedName>
    <definedName name="PYGRENTA">#REF!</definedName>
    <definedName name="PYGTESOROS" localSheetId="7">#REF!</definedName>
    <definedName name="PYGTESOROS">#REF!</definedName>
    <definedName name="ref_contr" localSheetId="7">#REF!</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localSheetId="0" hidden="1">{"'Sheet1'!$A$1:$F$179"}</definedName>
    <definedName name="ro" hidden="1">{"'Sheet1'!$A$1:$F$179"}</definedName>
    <definedName name="rod" localSheetId="0" hidden="1">{"'Sheet1'!$A$1:$F$179"}</definedName>
    <definedName name="rod" hidden="1">{"'Sheet1'!$A$1:$F$179"}</definedName>
    <definedName name="rodirgo" localSheetId="0" hidden="1">{"'Sheet1'!$A$1:$F$179"}</definedName>
    <definedName name="rodirgo" hidden="1">{"'Sheet1'!$A$1:$F$179"}</definedName>
    <definedName name="sdaf" localSheetId="0" hidden="1">{"'para SB'!$A$1420:$F$1479"}</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 localSheetId="7">#REF!</definedName>
    <definedName name="TestTypes">#REF!</definedName>
    <definedName name="TextRefCopyRangeCount" hidden="1">1</definedName>
    <definedName name="Títulos_a_imprimir_IM" localSheetId="7">#REF!,#REF!</definedName>
    <definedName name="Títulos_a_imprimir_IM">#REF!,#REF!</definedName>
    <definedName name="TOTAL" localSheetId="7">#REF!</definedName>
    <definedName name="TOTAL">#REF!</definedName>
    <definedName name="TypesOfTransaction" localSheetId="7">#REF!</definedName>
    <definedName name="TypesOfTransaction">#REF!</definedName>
    <definedName name="VALID" localSheetId="7">#REF!</definedName>
    <definedName name="VALID">#REF!</definedName>
    <definedName name="VALOR" localSheetId="0" hidden="1">{#N/A,#N/A,FALSE,"ANEXO1";"ACTIVO",#N/A,FALSE,"ANEXO1";"PASIVO",#N/A,FALSE,"ANEXO1";"G Y P",#N/A,FALSE,"ANEXO1"}</definedName>
    <definedName name="VALOR" hidden="1">{#N/A,#N/A,FALSE,"ANEXO1";"ACTIVO",#N/A,FALSE,"ANEXO1";"PASIVO",#N/A,FALSE,"ANEXO1";"G Y P",#N/A,FALSE,"ANEXO1"}</definedName>
    <definedName name="veinticuatro" localSheetId="7">#REF!</definedName>
    <definedName name="veinticuatro">#REF!</definedName>
    <definedName name="veintidos" localSheetId="7">#REF!</definedName>
    <definedName name="veintidos">#REF!</definedName>
    <definedName name="veintitres" localSheetId="7">#REF!</definedName>
    <definedName name="veintitres">#REF!</definedName>
    <definedName name="veintiuno" localSheetId="7">#REF!</definedName>
    <definedName name="veintiuno">#REF!</definedName>
    <definedName name="wrn.CONSOLIDADO." localSheetId="0" hidden="1">{#N/A,#N/A,FALSE,"ANEXO1";"ACTIVO",#N/A,FALSE,"ANEXO1";"PASIVO",#N/A,FALSE,"ANEXO1";"G Y P",#N/A,FALSE,"ANEXO1"}</definedName>
    <definedName name="wrn.CONSOLIDADO." hidden="1">{#N/A,#N/A,FALSE,"ANEXO1";"ACTIVO",#N/A,FALSE,"ANEXO1";"PASIVO",#N/A,FALSE,"ANEXO1";"G Y P",#N/A,FALSE,"ANEXO1"}</definedName>
    <definedName name="ws" localSheetId="0" hidden="1">{"'Sheet1'!$A$1:$F$179"}</definedName>
    <definedName name="ws" hidden="1">{"'Sheet1'!$A$1:$F$179"}</definedName>
    <definedName name="XXX" localSheetId="7">#REF!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2" i="28" l="1"/>
  <c r="B81" i="28"/>
  <c r="B80" i="28"/>
  <c r="B79" i="28"/>
  <c r="B78" i="28"/>
  <c r="B77" i="28"/>
  <c r="B76" i="28"/>
  <c r="B75" i="28"/>
  <c r="B74" i="28"/>
  <c r="B73" i="28"/>
  <c r="B72" i="28"/>
  <c r="B71" i="28"/>
  <c r="B70" i="28"/>
  <c r="B69" i="28"/>
  <c r="B68" i="28"/>
  <c r="B67" i="28"/>
  <c r="B66" i="28"/>
  <c r="B65" i="28"/>
  <c r="B64" i="28"/>
  <c r="B63" i="28"/>
  <c r="B62" i="28"/>
  <c r="B61" i="28"/>
  <c r="B60" i="28"/>
  <c r="B59" i="28"/>
  <c r="B58" i="28"/>
  <c r="B57" i="28"/>
  <c r="B56" i="28"/>
  <c r="B55" i="28"/>
  <c r="B54" i="28"/>
  <c r="B53" i="28"/>
  <c r="B52" i="28"/>
  <c r="B51" i="28"/>
  <c r="B50" i="28"/>
  <c r="B49" i="28"/>
  <c r="B48" i="28"/>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7" i="28"/>
  <c r="B6" i="28"/>
  <c r="B5" i="28"/>
  <c r="B4" i="28"/>
  <c r="B3" i="28"/>
  <c r="B2" i="28"/>
  <c r="K127" i="20"/>
  <c r="L127" i="20" s="1"/>
  <c r="N127" i="20" s="1"/>
  <c r="B127" i="20"/>
  <c r="K119" i="20"/>
  <c r="L119" i="20" s="1"/>
  <c r="N119" i="20" s="1"/>
  <c r="B119" i="20"/>
  <c r="K111" i="20"/>
  <c r="L111" i="20" s="1"/>
  <c r="N111" i="20" s="1"/>
  <c r="B111" i="20"/>
  <c r="K103" i="20"/>
  <c r="L103" i="20" s="1"/>
  <c r="N103" i="20" s="1"/>
  <c r="B103" i="20"/>
  <c r="K95" i="20"/>
  <c r="L95" i="20" s="1"/>
  <c r="N95" i="20" s="1"/>
  <c r="B95" i="20"/>
  <c r="K87" i="20"/>
  <c r="L87" i="20" s="1"/>
  <c r="N87" i="20" s="1"/>
  <c r="B87" i="20"/>
  <c r="K79" i="20"/>
  <c r="L79" i="20" s="1"/>
  <c r="N79" i="20" s="1"/>
  <c r="B79" i="20"/>
  <c r="K71" i="20"/>
  <c r="L71" i="20" s="1"/>
  <c r="N71" i="20" s="1"/>
  <c r="B71" i="20"/>
  <c r="K63" i="20"/>
  <c r="L63" i="20" s="1"/>
  <c r="N63" i="20" s="1"/>
  <c r="B63" i="20"/>
  <c r="K52" i="20"/>
  <c r="L52" i="20" s="1"/>
  <c r="N52" i="20" s="1"/>
  <c r="B52" i="20"/>
  <c r="K44" i="20"/>
  <c r="L44" i="20" s="1"/>
  <c r="N44" i="20" s="1"/>
  <c r="B44" i="20"/>
  <c r="K36" i="20"/>
  <c r="L36" i="20" s="1"/>
  <c r="N36" i="20" s="1"/>
  <c r="B36" i="20"/>
  <c r="K28" i="20"/>
  <c r="L28" i="20" s="1"/>
  <c r="N28" i="20" s="1"/>
  <c r="B28" i="20"/>
  <c r="K20" i="20"/>
  <c r="L20" i="20" s="1"/>
  <c r="N20" i="20" s="1"/>
  <c r="B20" i="20"/>
  <c r="K131" i="19"/>
  <c r="L131" i="19" s="1"/>
  <c r="N131" i="19" s="1"/>
  <c r="B131" i="19"/>
  <c r="K123" i="19"/>
  <c r="L123" i="19" s="1"/>
  <c r="N123" i="19" s="1"/>
  <c r="B123" i="19"/>
  <c r="K115" i="19"/>
  <c r="L115" i="19" s="1"/>
  <c r="N115" i="19" s="1"/>
  <c r="B115" i="19"/>
  <c r="K107" i="19"/>
  <c r="L107" i="19" s="1"/>
  <c r="N107" i="19" s="1"/>
  <c r="B107" i="19"/>
  <c r="K99" i="19"/>
  <c r="L99" i="19" s="1"/>
  <c r="N99" i="19" s="1"/>
  <c r="B99" i="19"/>
  <c r="K91" i="19"/>
  <c r="L91" i="19" s="1"/>
  <c r="N91" i="19" s="1"/>
  <c r="B91" i="19"/>
  <c r="K79" i="19"/>
  <c r="L79" i="19" s="1"/>
  <c r="N79" i="19" s="1"/>
  <c r="B79" i="19"/>
  <c r="K71" i="19"/>
  <c r="L71" i="19" s="1"/>
  <c r="N71" i="19" s="1"/>
  <c r="B71" i="19"/>
  <c r="K63" i="19"/>
  <c r="L63" i="19" s="1"/>
  <c r="N63" i="19" s="1"/>
  <c r="B63" i="19"/>
  <c r="K55" i="19"/>
  <c r="L55" i="19" s="1"/>
  <c r="N55" i="19" s="1"/>
  <c r="B55" i="19"/>
  <c r="K43" i="19"/>
  <c r="L43" i="19" s="1"/>
  <c r="N43" i="19" s="1"/>
  <c r="B43" i="19"/>
  <c r="K35" i="19"/>
  <c r="L35" i="19" s="1"/>
  <c r="N35" i="19" s="1"/>
  <c r="B35" i="19"/>
  <c r="K27" i="19"/>
  <c r="L27" i="19" s="1"/>
  <c r="N27" i="19" s="1"/>
  <c r="B27" i="19"/>
  <c r="K19" i="19"/>
  <c r="L19" i="19" s="1"/>
  <c r="N19" i="19" s="1"/>
  <c r="B19" i="19"/>
  <c r="K115" i="17"/>
  <c r="L115" i="17" s="1"/>
  <c r="N115" i="17" s="1"/>
  <c r="B115" i="17"/>
  <c r="K107" i="17"/>
  <c r="L107" i="17" s="1"/>
  <c r="N107" i="17" s="1"/>
  <c r="B107" i="17"/>
  <c r="K99" i="17"/>
  <c r="L99" i="17" s="1"/>
  <c r="N99" i="17" s="1"/>
  <c r="B99" i="17"/>
  <c r="K91" i="17"/>
  <c r="L91" i="17" s="1"/>
  <c r="N91" i="17" s="1"/>
  <c r="B91" i="17"/>
  <c r="K83" i="17"/>
  <c r="L83" i="17" s="1"/>
  <c r="N83" i="17" s="1"/>
  <c r="B83" i="17"/>
  <c r="K72" i="17"/>
  <c r="L72" i="17" s="1"/>
  <c r="N72" i="17" s="1"/>
  <c r="B72" i="17"/>
  <c r="K64" i="17"/>
  <c r="L64" i="17" s="1"/>
  <c r="N64" i="17" s="1"/>
  <c r="B64" i="17"/>
  <c r="K56" i="17"/>
  <c r="L56" i="17" s="1"/>
  <c r="N56" i="17" s="1"/>
  <c r="B56" i="17"/>
  <c r="K48" i="17"/>
  <c r="L48" i="17" s="1"/>
  <c r="N48" i="17" s="1"/>
  <c r="B48" i="17"/>
  <c r="K37" i="17"/>
  <c r="L37" i="17" s="1"/>
  <c r="N37" i="17" s="1"/>
  <c r="B37" i="17"/>
  <c r="K29" i="17"/>
  <c r="L29" i="17" s="1"/>
  <c r="N29" i="17" s="1"/>
  <c r="B29" i="17"/>
  <c r="K21" i="17"/>
  <c r="L21" i="17" s="1"/>
  <c r="N21" i="17" s="1"/>
  <c r="B21" i="17"/>
  <c r="K153" i="18"/>
  <c r="L153" i="18" s="1"/>
  <c r="N153" i="18" s="1"/>
  <c r="B153" i="18"/>
  <c r="K145" i="18"/>
  <c r="L145" i="18" s="1"/>
  <c r="N145" i="18" s="1"/>
  <c r="B145" i="18"/>
  <c r="K137" i="18"/>
  <c r="L137" i="18" s="1"/>
  <c r="N137" i="18" s="1"/>
  <c r="B137" i="18"/>
  <c r="K129" i="18"/>
  <c r="L129" i="18" s="1"/>
  <c r="N129" i="18" s="1"/>
  <c r="B129" i="18"/>
  <c r="K121" i="18"/>
  <c r="L121" i="18" s="1"/>
  <c r="N121" i="18" s="1"/>
  <c r="B121" i="18"/>
  <c r="K110" i="18"/>
  <c r="L110" i="18" s="1"/>
  <c r="N110" i="18" s="1"/>
  <c r="B110" i="18"/>
  <c r="K102" i="18"/>
  <c r="L102" i="18" s="1"/>
  <c r="N102" i="18" s="1"/>
  <c r="B102" i="18"/>
  <c r="K94" i="18"/>
  <c r="L94" i="18" s="1"/>
  <c r="N94" i="18" s="1"/>
  <c r="B94" i="18"/>
  <c r="K86" i="18"/>
  <c r="L86" i="18" s="1"/>
  <c r="N86" i="18" s="1"/>
  <c r="B86" i="18"/>
  <c r="K75" i="18"/>
  <c r="L75" i="18" s="1"/>
  <c r="N75" i="18" s="1"/>
  <c r="B75" i="18"/>
  <c r="K67" i="18"/>
  <c r="L67" i="18" s="1"/>
  <c r="N67" i="18" s="1"/>
  <c r="B67" i="18"/>
  <c r="K59" i="18"/>
  <c r="L59" i="18" s="1"/>
  <c r="N59" i="18" s="1"/>
  <c r="B59" i="18"/>
  <c r="K51" i="18"/>
  <c r="L51" i="18" s="1"/>
  <c r="N51" i="18" s="1"/>
  <c r="B51" i="18"/>
  <c r="K43" i="18"/>
  <c r="L43" i="18" s="1"/>
  <c r="N43" i="18" s="1"/>
  <c r="B43" i="18"/>
  <c r="K32" i="18"/>
  <c r="L32" i="18" s="1"/>
  <c r="N32" i="18" s="1"/>
  <c r="B32" i="18"/>
  <c r="K24" i="18"/>
  <c r="L24" i="18" s="1"/>
  <c r="N24" i="18" s="1"/>
  <c r="B24" i="18"/>
  <c r="K16" i="18"/>
  <c r="L16" i="18" s="1"/>
  <c r="N16" i="18" s="1"/>
  <c r="B16" i="18"/>
  <c r="K228" i="24"/>
  <c r="L228" i="24" s="1"/>
  <c r="N228" i="24" s="1"/>
  <c r="B228" i="24"/>
  <c r="K220" i="24"/>
  <c r="L220" i="24" s="1"/>
  <c r="N220" i="24" s="1"/>
  <c r="B220" i="24"/>
  <c r="K212" i="24"/>
  <c r="L212" i="24" s="1"/>
  <c r="N212" i="24" s="1"/>
  <c r="B212" i="24"/>
  <c r="K204" i="24"/>
  <c r="L204" i="24" s="1"/>
  <c r="N204" i="24" s="1"/>
  <c r="B204" i="24"/>
  <c r="K196" i="24"/>
  <c r="L196" i="24" s="1"/>
  <c r="N196" i="24" s="1"/>
  <c r="B196" i="24"/>
  <c r="K188" i="24"/>
  <c r="L188" i="24" s="1"/>
  <c r="N188" i="24" s="1"/>
  <c r="B188" i="24"/>
  <c r="K177" i="24"/>
  <c r="L177" i="24" s="1"/>
  <c r="N177" i="24" s="1"/>
  <c r="B177" i="24"/>
  <c r="K169" i="24"/>
  <c r="L169" i="24" s="1"/>
  <c r="N169" i="24" s="1"/>
  <c r="B169" i="24"/>
  <c r="K161" i="24"/>
  <c r="L161" i="24" s="1"/>
  <c r="N161" i="24" s="1"/>
  <c r="B161" i="24"/>
  <c r="K153" i="24"/>
  <c r="L153" i="24" s="1"/>
  <c r="N153" i="24" s="1"/>
  <c r="B153" i="24"/>
  <c r="K145" i="24"/>
  <c r="L145" i="24" s="1"/>
  <c r="N145" i="24" s="1"/>
  <c r="B145" i="24"/>
  <c r="K137" i="24"/>
  <c r="L137" i="24" s="1"/>
  <c r="N137" i="24" s="1"/>
  <c r="B137" i="24"/>
  <c r="K129" i="24"/>
  <c r="L129" i="24" s="1"/>
  <c r="N129" i="24" s="1"/>
  <c r="B129" i="24"/>
  <c r="K118" i="24"/>
  <c r="L118" i="24" s="1"/>
  <c r="N118" i="24" s="1"/>
  <c r="B118" i="24"/>
  <c r="K110" i="24"/>
  <c r="L110" i="24" s="1"/>
  <c r="N110" i="24" s="1"/>
  <c r="B110" i="24"/>
  <c r="K102" i="24"/>
  <c r="L102" i="24" s="1"/>
  <c r="N102" i="24" s="1"/>
  <c r="B102" i="24"/>
  <c r="K91" i="24"/>
  <c r="L91" i="24" s="1"/>
  <c r="N91" i="24" s="1"/>
  <c r="B91" i="24"/>
  <c r="K83" i="24"/>
  <c r="L83" i="24" s="1"/>
  <c r="N83" i="24" s="1"/>
  <c r="B83" i="24"/>
  <c r="K75" i="24"/>
  <c r="L75" i="24" s="1"/>
  <c r="N75" i="24" s="1"/>
  <c r="B75" i="24"/>
  <c r="K64" i="24"/>
  <c r="L64" i="24" s="1"/>
  <c r="N64" i="24" s="1"/>
  <c r="B64" i="24"/>
  <c r="K56" i="24"/>
  <c r="L56" i="24" s="1"/>
  <c r="N56" i="24" s="1"/>
  <c r="B56" i="24"/>
  <c r="K48" i="24"/>
  <c r="L48" i="24" s="1"/>
  <c r="N48" i="24" s="1"/>
  <c r="B48" i="24"/>
  <c r="K40" i="24"/>
  <c r="L40" i="24" s="1"/>
  <c r="N40" i="24" s="1"/>
  <c r="B40" i="24"/>
  <c r="K32" i="24"/>
  <c r="L32" i="24" s="1"/>
  <c r="N32" i="24" s="1"/>
  <c r="B32" i="24"/>
  <c r="K24" i="24"/>
  <c r="B24" i="24"/>
  <c r="C25" i="28" l="1"/>
  <c r="L24" i="28"/>
  <c r="G24" i="28"/>
  <c r="K23" i="28"/>
  <c r="F23" i="28"/>
  <c r="E22" i="28"/>
  <c r="C21" i="28"/>
  <c r="L20" i="28"/>
  <c r="G20" i="28"/>
  <c r="K19" i="28"/>
  <c r="F19" i="28"/>
  <c r="E18" i="28"/>
  <c r="C17" i="28"/>
  <c r="L16" i="28"/>
  <c r="G16" i="28"/>
  <c r="K15" i="28"/>
  <c r="F15" i="28"/>
  <c r="E14" i="28"/>
  <c r="C13" i="28"/>
  <c r="L12" i="28"/>
  <c r="G12" i="28"/>
  <c r="K11" i="28"/>
  <c r="F11" i="28"/>
  <c r="E10" i="28"/>
  <c r="C9" i="28"/>
  <c r="L8" i="28"/>
  <c r="G8" i="28"/>
  <c r="K7" i="28"/>
  <c r="F7" i="28"/>
  <c r="E6" i="28"/>
  <c r="C5" i="28"/>
  <c r="L4" i="28"/>
  <c r="G4" i="28"/>
  <c r="K3" i="28"/>
  <c r="F3" i="28"/>
  <c r="E2" i="28"/>
  <c r="G25" i="28"/>
  <c r="K24" i="28"/>
  <c r="F24" i="28"/>
  <c r="E23" i="28"/>
  <c r="C22" i="28"/>
  <c r="L21" i="28"/>
  <c r="G21" i="28"/>
  <c r="K20" i="28"/>
  <c r="F20" i="28"/>
  <c r="E19" i="28"/>
  <c r="C18" i="28"/>
  <c r="L17" i="28"/>
  <c r="G17" i="28"/>
  <c r="K16" i="28"/>
  <c r="F16" i="28"/>
  <c r="E15" i="28"/>
  <c r="C14" i="28"/>
  <c r="L13" i="28"/>
  <c r="G13" i="28"/>
  <c r="K12" i="28"/>
  <c r="F12" i="28"/>
  <c r="E11" i="28"/>
  <c r="C10" i="28"/>
  <c r="L9" i="28"/>
  <c r="G9" i="28"/>
  <c r="K8" i="28"/>
  <c r="F8" i="28"/>
  <c r="E7" i="28"/>
  <c r="C6" i="28"/>
  <c r="L5" i="28"/>
  <c r="G5" i="28"/>
  <c r="K4" i="28"/>
  <c r="F4" i="28"/>
  <c r="E3" i="28"/>
  <c r="C2" i="28"/>
  <c r="L25" i="28"/>
  <c r="F25" i="28"/>
  <c r="E24" i="28"/>
  <c r="C23" i="28"/>
  <c r="L22" i="28"/>
  <c r="G22" i="28"/>
  <c r="K21" i="28"/>
  <c r="F21" i="28"/>
  <c r="E20" i="28"/>
  <c r="C19" i="28"/>
  <c r="L18" i="28"/>
  <c r="G18" i="28"/>
  <c r="K17" i="28"/>
  <c r="F17" i="28"/>
  <c r="E16" i="28"/>
  <c r="C15" i="28"/>
  <c r="L14" i="28"/>
  <c r="G14" i="28"/>
  <c r="K13" i="28"/>
  <c r="F13" i="28"/>
  <c r="E12" i="28"/>
  <c r="C11" i="28"/>
  <c r="L10" i="28"/>
  <c r="G10" i="28"/>
  <c r="K9" i="28"/>
  <c r="F9" i="28"/>
  <c r="E8" i="28"/>
  <c r="C7" i="28"/>
  <c r="L6" i="28"/>
  <c r="G6" i="28"/>
  <c r="K5" i="28"/>
  <c r="F5" i="28"/>
  <c r="E4" i="28"/>
  <c r="C3" i="28"/>
  <c r="L2" i="28"/>
  <c r="K25" i="28"/>
  <c r="E25" i="28"/>
  <c r="C24" i="28"/>
  <c r="L23" i="28"/>
  <c r="G23" i="28"/>
  <c r="K22" i="28"/>
  <c r="F22" i="28"/>
  <c r="E21" i="28"/>
  <c r="C20" i="28"/>
  <c r="L19" i="28"/>
  <c r="G19" i="28"/>
  <c r="K18" i="28"/>
  <c r="F18" i="28"/>
  <c r="E17" i="28"/>
  <c r="C16" i="28"/>
  <c r="L15" i="28"/>
  <c r="G15" i="28"/>
  <c r="K14" i="28"/>
  <c r="F14" i="28"/>
  <c r="E13" i="28"/>
  <c r="C12" i="28"/>
  <c r="L11" i="28"/>
  <c r="G11" i="28"/>
  <c r="K10" i="28"/>
  <c r="F10" i="28"/>
  <c r="E9" i="28"/>
  <c r="C8" i="28"/>
  <c r="L7" i="28"/>
  <c r="G7" i="28"/>
  <c r="K6" i="28"/>
  <c r="F6" i="28"/>
  <c r="E5" i="28"/>
  <c r="C4" i="28"/>
  <c r="L3" i="28"/>
  <c r="G3" i="28"/>
  <c r="K2" i="28"/>
  <c r="F2" i="28"/>
  <c r="I2" i="28" s="1"/>
  <c r="G2" i="28"/>
  <c r="E42" i="28"/>
  <c r="C41" i="28"/>
  <c r="G40" i="28"/>
  <c r="K39" i="28"/>
  <c r="F39" i="28"/>
  <c r="E38" i="28"/>
  <c r="C37" i="28"/>
  <c r="G36" i="28"/>
  <c r="K35" i="28"/>
  <c r="F35" i="28"/>
  <c r="E34" i="28"/>
  <c r="C33" i="28"/>
  <c r="G32" i="28"/>
  <c r="K31" i="28"/>
  <c r="F31" i="28"/>
  <c r="E30" i="28"/>
  <c r="C29" i="28"/>
  <c r="G28" i="28"/>
  <c r="K27" i="28"/>
  <c r="F27" i="28"/>
  <c r="E26" i="28"/>
  <c r="C42" i="28"/>
  <c r="G41" i="28"/>
  <c r="K40" i="28"/>
  <c r="F40" i="28"/>
  <c r="E39" i="28"/>
  <c r="C38" i="28"/>
  <c r="G42" i="28"/>
  <c r="K41" i="28"/>
  <c r="F41" i="28"/>
  <c r="E40" i="28"/>
  <c r="C39" i="28"/>
  <c r="G38" i="28"/>
  <c r="K37" i="28"/>
  <c r="F37" i="28"/>
  <c r="E36" i="28"/>
  <c r="C35" i="28"/>
  <c r="G34" i="28"/>
  <c r="K33" i="28"/>
  <c r="F33" i="28"/>
  <c r="E32" i="28"/>
  <c r="C31" i="28"/>
  <c r="G30" i="28"/>
  <c r="K29" i="28"/>
  <c r="F29" i="28"/>
  <c r="K42" i="28"/>
  <c r="F42" i="28"/>
  <c r="E41" i="28"/>
  <c r="C40" i="28"/>
  <c r="G39" i="28"/>
  <c r="K38" i="28"/>
  <c r="C36" i="28"/>
  <c r="C34" i="28"/>
  <c r="C32" i="28"/>
  <c r="C30" i="28"/>
  <c r="F28" i="28"/>
  <c r="F38" i="28"/>
  <c r="G37" i="28"/>
  <c r="K36" i="28"/>
  <c r="G35" i="28"/>
  <c r="K34" i="28"/>
  <c r="G33" i="28"/>
  <c r="K32" i="28"/>
  <c r="G31" i="28"/>
  <c r="K30" i="28"/>
  <c r="G29" i="28"/>
  <c r="K28" i="28"/>
  <c r="E28" i="28"/>
  <c r="G27" i="28"/>
  <c r="G26" i="28"/>
  <c r="E37" i="28"/>
  <c r="E35" i="28"/>
  <c r="E33" i="28"/>
  <c r="E31" i="28"/>
  <c r="E29" i="28"/>
  <c r="C28" i="28"/>
  <c r="E27" i="28"/>
  <c r="F26" i="28"/>
  <c r="F36" i="28"/>
  <c r="F34" i="28"/>
  <c r="F32" i="28"/>
  <c r="F30" i="28"/>
  <c r="C27" i="28"/>
  <c r="K26" i="28"/>
  <c r="C26" i="28"/>
  <c r="L40" i="28"/>
  <c r="L36" i="28"/>
  <c r="L32" i="28"/>
  <c r="L28" i="28"/>
  <c r="L41" i="28"/>
  <c r="L37" i="28"/>
  <c r="L42" i="28"/>
  <c r="L38" i="28"/>
  <c r="L34" i="28"/>
  <c r="L30" i="28"/>
  <c r="L39" i="28"/>
  <c r="L27" i="28"/>
  <c r="L26" i="28"/>
  <c r="L35" i="28"/>
  <c r="L33" i="28"/>
  <c r="L31" i="28"/>
  <c r="L29" i="28"/>
  <c r="C54" i="28"/>
  <c r="L53" i="28"/>
  <c r="G53" i="28"/>
  <c r="K52" i="28"/>
  <c r="F52" i="28"/>
  <c r="E51" i="28"/>
  <c r="C50" i="28"/>
  <c r="L49" i="28"/>
  <c r="G49" i="28"/>
  <c r="L54" i="28"/>
  <c r="F54" i="28"/>
  <c r="F53" i="28"/>
  <c r="C49" i="28"/>
  <c r="L48" i="28"/>
  <c r="G48" i="28"/>
  <c r="K47" i="28"/>
  <c r="F47" i="28"/>
  <c r="E46" i="28"/>
  <c r="C45" i="28"/>
  <c r="L44" i="28"/>
  <c r="G44" i="28"/>
  <c r="K43" i="28"/>
  <c r="F43" i="28"/>
  <c r="K54" i="28"/>
  <c r="E54" i="28"/>
  <c r="K53" i="28"/>
  <c r="E53" i="28"/>
  <c r="G52" i="28"/>
  <c r="G51" i="28"/>
  <c r="G50" i="28"/>
  <c r="K48" i="28"/>
  <c r="F48" i="28"/>
  <c r="E47" i="28"/>
  <c r="C46" i="28"/>
  <c r="L45" i="28"/>
  <c r="G45" i="28"/>
  <c r="K44" i="28"/>
  <c r="F44" i="28"/>
  <c r="E43" i="28"/>
  <c r="C53" i="28"/>
  <c r="L52" i="28"/>
  <c r="E52" i="28"/>
  <c r="L51" i="28"/>
  <c r="F51" i="28"/>
  <c r="L50" i="28"/>
  <c r="F50" i="28"/>
  <c r="F49" i="28"/>
  <c r="E48" i="28"/>
  <c r="C47" i="28"/>
  <c r="L46" i="28"/>
  <c r="G46" i="28"/>
  <c r="K45" i="28"/>
  <c r="F45" i="28"/>
  <c r="E44" i="28"/>
  <c r="C43" i="28"/>
  <c r="G54" i="28"/>
  <c r="C52" i="28"/>
  <c r="K51" i="28"/>
  <c r="C51" i="28"/>
  <c r="K50" i="28"/>
  <c r="E50" i="28"/>
  <c r="K49" i="28"/>
  <c r="E49" i="28"/>
  <c r="C48" i="28"/>
  <c r="L47" i="28"/>
  <c r="G47" i="28"/>
  <c r="K46" i="28"/>
  <c r="F46" i="28"/>
  <c r="E45" i="28"/>
  <c r="C44" i="28"/>
  <c r="L43" i="28"/>
  <c r="G43" i="28"/>
  <c r="L68" i="28"/>
  <c r="G68" i="28"/>
  <c r="K67" i="28"/>
  <c r="F67" i="28"/>
  <c r="E66" i="28"/>
  <c r="C65" i="28"/>
  <c r="L64" i="28"/>
  <c r="G64" i="28"/>
  <c r="K63" i="28"/>
  <c r="F63" i="28"/>
  <c r="E62" i="28"/>
  <c r="C61" i="28"/>
  <c r="L60" i="28"/>
  <c r="G60" i="28"/>
  <c r="K59" i="28"/>
  <c r="F59" i="28"/>
  <c r="E58" i="28"/>
  <c r="C57" i="28"/>
  <c r="L56" i="28"/>
  <c r="G56" i="28"/>
  <c r="K55" i="28"/>
  <c r="F55" i="28"/>
  <c r="K68" i="28"/>
  <c r="F68" i="28"/>
  <c r="E67" i="28"/>
  <c r="C66" i="28"/>
  <c r="L65" i="28"/>
  <c r="G65" i="28"/>
  <c r="K64" i="28"/>
  <c r="F64" i="28"/>
  <c r="E63" i="28"/>
  <c r="C62" i="28"/>
  <c r="L61" i="28"/>
  <c r="G61" i="28"/>
  <c r="K60" i="28"/>
  <c r="F60" i="28"/>
  <c r="E59" i="28"/>
  <c r="C58" i="28"/>
  <c r="L57" i="28"/>
  <c r="G57" i="28"/>
  <c r="K56" i="28"/>
  <c r="F56" i="28"/>
  <c r="E55" i="28"/>
  <c r="C68" i="28"/>
  <c r="L67" i="28"/>
  <c r="G67" i="28"/>
  <c r="K66" i="28"/>
  <c r="F66" i="28"/>
  <c r="E65" i="28"/>
  <c r="C64" i="28"/>
  <c r="L63" i="28"/>
  <c r="G63" i="28"/>
  <c r="K62" i="28"/>
  <c r="F62" i="28"/>
  <c r="E61" i="28"/>
  <c r="C60" i="28"/>
  <c r="L59" i="28"/>
  <c r="G59" i="28"/>
  <c r="K58" i="28"/>
  <c r="F58" i="28"/>
  <c r="G66" i="28"/>
  <c r="K61" i="28"/>
  <c r="G58" i="28"/>
  <c r="F57" i="28"/>
  <c r="C56" i="28"/>
  <c r="E68" i="28"/>
  <c r="C67" i="28"/>
  <c r="L62" i="28"/>
  <c r="F61" i="28"/>
  <c r="E60" i="28"/>
  <c r="C59" i="28"/>
  <c r="E57" i="28"/>
  <c r="G55" i="28"/>
  <c r="K65" i="28"/>
  <c r="G62" i="28"/>
  <c r="K57" i="28"/>
  <c r="C55" i="28"/>
  <c r="L66" i="28"/>
  <c r="F65" i="28"/>
  <c r="E64" i="28"/>
  <c r="C63" i="28"/>
  <c r="L58" i="28"/>
  <c r="E56" i="28"/>
  <c r="L55" i="28"/>
  <c r="E82" i="28"/>
  <c r="C81" i="28"/>
  <c r="L80" i="28"/>
  <c r="G80" i="28"/>
  <c r="K79" i="28"/>
  <c r="F79" i="28"/>
  <c r="E78" i="28"/>
  <c r="C77" i="28"/>
  <c r="L76" i="28"/>
  <c r="G76" i="28"/>
  <c r="K75" i="28"/>
  <c r="F75" i="28"/>
  <c r="E74" i="28"/>
  <c r="C73" i="28"/>
  <c r="L72" i="28"/>
  <c r="G72" i="28"/>
  <c r="K71" i="28"/>
  <c r="F71" i="28"/>
  <c r="E70" i="28"/>
  <c r="C69" i="28"/>
  <c r="C82" i="28"/>
  <c r="L81" i="28"/>
  <c r="G81" i="28"/>
  <c r="K80" i="28"/>
  <c r="F80" i="28"/>
  <c r="E79" i="28"/>
  <c r="C78" i="28"/>
  <c r="L77" i="28"/>
  <c r="G77" i="28"/>
  <c r="K76" i="28"/>
  <c r="F76" i="28"/>
  <c r="E75" i="28"/>
  <c r="C74" i="28"/>
  <c r="L73" i="28"/>
  <c r="G73" i="28"/>
  <c r="K72" i="28"/>
  <c r="F72" i="28"/>
  <c r="E71" i="28"/>
  <c r="C70" i="28"/>
  <c r="L69" i="28"/>
  <c r="G69" i="28"/>
  <c r="L82" i="28"/>
  <c r="G82" i="28"/>
  <c r="K81" i="28"/>
  <c r="F81" i="28"/>
  <c r="K82" i="28"/>
  <c r="F82" i="28"/>
  <c r="E81" i="28"/>
  <c r="C80" i="28"/>
  <c r="L79" i="28"/>
  <c r="G79" i="28"/>
  <c r="K78" i="28"/>
  <c r="F78" i="28"/>
  <c r="E77" i="28"/>
  <c r="C76" i="28"/>
  <c r="L75" i="28"/>
  <c r="G75" i="28"/>
  <c r="K74" i="28"/>
  <c r="F74" i="28"/>
  <c r="E73" i="28"/>
  <c r="C72" i="28"/>
  <c r="L71" i="28"/>
  <c r="G71" i="28"/>
  <c r="K70" i="28"/>
  <c r="F70" i="28"/>
  <c r="E69" i="28"/>
  <c r="K77" i="28"/>
  <c r="G74" i="28"/>
  <c r="K69" i="28"/>
  <c r="L78" i="28"/>
  <c r="F77" i="28"/>
  <c r="E76" i="28"/>
  <c r="C75" i="28"/>
  <c r="L70" i="28"/>
  <c r="F69" i="28"/>
  <c r="G78" i="28"/>
  <c r="K73" i="28"/>
  <c r="G70" i="28"/>
  <c r="E80" i="28"/>
  <c r="C79" i="28"/>
  <c r="L74" i="28"/>
  <c r="F73" i="28"/>
  <c r="E72" i="28"/>
  <c r="C71" i="28"/>
  <c r="I78" i="28" l="1"/>
  <c r="I70" i="28"/>
  <c r="I45" i="28"/>
  <c r="I47" i="28"/>
  <c r="M5" i="28"/>
  <c r="M13" i="28"/>
  <c r="M21" i="28"/>
  <c r="M8" i="28"/>
  <c r="I52" i="28"/>
  <c r="I42" i="28"/>
  <c r="M16" i="28"/>
  <c r="I37" i="28"/>
  <c r="M24" i="28"/>
  <c r="M9" i="28"/>
  <c r="M17" i="28"/>
  <c r="M6" i="28"/>
  <c r="M22" i="28"/>
  <c r="I71" i="28"/>
  <c r="I79" i="28"/>
  <c r="I62" i="28"/>
  <c r="I56" i="28"/>
  <c r="I64" i="28"/>
  <c r="M4" i="28"/>
  <c r="I75" i="28"/>
  <c r="I58" i="28"/>
  <c r="I60" i="28"/>
  <c r="I68" i="28"/>
  <c r="I53" i="28"/>
  <c r="I26" i="28"/>
  <c r="I66" i="28"/>
  <c r="M14" i="28"/>
  <c r="M18" i="28"/>
  <c r="I41" i="28"/>
  <c r="M2" i="28"/>
  <c r="M10" i="28"/>
  <c r="I57" i="28"/>
  <c r="I30" i="28"/>
  <c r="I35" i="28"/>
  <c r="I69" i="28"/>
  <c r="I32" i="28"/>
  <c r="I38" i="28"/>
  <c r="I29" i="28"/>
  <c r="I59" i="28"/>
  <c r="I44" i="28"/>
  <c r="I34" i="28"/>
  <c r="I28" i="28"/>
  <c r="I27" i="28"/>
  <c r="I67" i="28"/>
  <c r="I77" i="28"/>
  <c r="I74" i="28"/>
  <c r="I82" i="28"/>
  <c r="I49" i="28"/>
  <c r="I43" i="28"/>
  <c r="I54" i="28"/>
  <c r="I39" i="28"/>
  <c r="I73" i="28"/>
  <c r="I55" i="28"/>
  <c r="I63" i="28"/>
  <c r="I50" i="28"/>
  <c r="I33" i="28"/>
  <c r="I51" i="28"/>
  <c r="I46" i="28"/>
  <c r="I48" i="28"/>
  <c r="I76" i="28"/>
  <c r="I65" i="28"/>
  <c r="I72" i="28"/>
  <c r="I80" i="28"/>
  <c r="I81" i="28"/>
  <c r="I61" i="28"/>
  <c r="I31" i="28"/>
  <c r="M76" i="28"/>
  <c r="M81" i="28"/>
  <c r="M73" i="28"/>
  <c r="M72" i="28"/>
  <c r="M80" i="28"/>
  <c r="M74" i="28"/>
  <c r="M82" i="28"/>
  <c r="M25" i="28"/>
  <c r="I36" i="28"/>
  <c r="M12" i="28"/>
  <c r="M20" i="28"/>
  <c r="I40" i="28"/>
  <c r="M57" i="28"/>
  <c r="M65" i="28"/>
  <c r="M61" i="28"/>
  <c r="M56" i="28"/>
  <c r="M64" i="28"/>
  <c r="M60" i="28"/>
  <c r="M68" i="28"/>
  <c r="M53" i="28"/>
  <c r="M50" i="28"/>
  <c r="M51" i="28"/>
  <c r="H70" i="28"/>
  <c r="M45" i="28"/>
  <c r="M49" i="28"/>
  <c r="M54" i="28"/>
  <c r="H76" i="28"/>
  <c r="H59" i="28"/>
  <c r="H67" i="28"/>
  <c r="H61" i="28"/>
  <c r="H60" i="28"/>
  <c r="H68" i="28"/>
  <c r="H47" i="28"/>
  <c r="H50" i="28"/>
  <c r="M43" i="28"/>
  <c r="M26" i="28"/>
  <c r="H31" i="28"/>
  <c r="H35" i="28"/>
  <c r="M29" i="28"/>
  <c r="H42" i="28"/>
  <c r="M40" i="28"/>
  <c r="H36" i="28"/>
  <c r="M39" i="28"/>
  <c r="H2" i="28"/>
  <c r="M7" i="28"/>
  <c r="M15" i="28"/>
  <c r="M23" i="28"/>
  <c r="M69" i="28"/>
  <c r="H75" i="28"/>
  <c r="H69" i="28"/>
  <c r="H77" i="28"/>
  <c r="M71" i="28"/>
  <c r="M79" i="28"/>
  <c r="H55" i="28"/>
  <c r="H66" i="28"/>
  <c r="M62" i="28"/>
  <c r="M55" i="28"/>
  <c r="M63" i="28"/>
  <c r="M44" i="28"/>
  <c r="H51" i="28"/>
  <c r="H44" i="28"/>
  <c r="H49" i="28"/>
  <c r="M28" i="28"/>
  <c r="M32" i="28"/>
  <c r="M36" i="28"/>
  <c r="M38" i="28"/>
  <c r="H30" i="28"/>
  <c r="M33" i="28"/>
  <c r="H41" i="28"/>
  <c r="M27" i="28"/>
  <c r="H40" i="28"/>
  <c r="H7" i="28"/>
  <c r="I10" i="28"/>
  <c r="H15" i="28"/>
  <c r="I18" i="28"/>
  <c r="H23" i="28"/>
  <c r="I5" i="28"/>
  <c r="H10" i="28"/>
  <c r="I13" i="28"/>
  <c r="H18" i="28"/>
  <c r="I21" i="28"/>
  <c r="H5" i="28"/>
  <c r="I8" i="28"/>
  <c r="H13" i="28"/>
  <c r="I16" i="28"/>
  <c r="H21" i="28"/>
  <c r="I24" i="28"/>
  <c r="I3" i="28"/>
  <c r="H8" i="28"/>
  <c r="I11" i="28"/>
  <c r="H16" i="28"/>
  <c r="I19" i="28"/>
  <c r="H24" i="28"/>
  <c r="M70" i="28"/>
  <c r="M78" i="28"/>
  <c r="H72" i="28"/>
  <c r="H80" i="28"/>
  <c r="H63" i="28"/>
  <c r="H57" i="28"/>
  <c r="H65" i="28"/>
  <c r="H56" i="28"/>
  <c r="H64" i="28"/>
  <c r="H43" i="28"/>
  <c r="H54" i="28"/>
  <c r="H45" i="28"/>
  <c r="H52" i="28"/>
  <c r="M47" i="28"/>
  <c r="M52" i="28"/>
  <c r="H26" i="28"/>
  <c r="H29" i="28"/>
  <c r="H33" i="28"/>
  <c r="H37" i="28"/>
  <c r="H39" i="28"/>
  <c r="M42" i="28"/>
  <c r="H34" i="28"/>
  <c r="M37" i="28"/>
  <c r="H28" i="28"/>
  <c r="M31" i="28"/>
  <c r="M3" i="28"/>
  <c r="M11" i="28"/>
  <c r="M19" i="28"/>
  <c r="H78" i="28"/>
  <c r="H74" i="28"/>
  <c r="M77" i="28"/>
  <c r="H71" i="28"/>
  <c r="H79" i="28"/>
  <c r="H82" i="28"/>
  <c r="H73" i="28"/>
  <c r="H81" i="28"/>
  <c r="M75" i="28"/>
  <c r="H62" i="28"/>
  <c r="H58" i="28"/>
  <c r="M58" i="28"/>
  <c r="M66" i="28"/>
  <c r="M59" i="28"/>
  <c r="M67" i="28"/>
  <c r="M46" i="28"/>
  <c r="H46" i="28"/>
  <c r="M48" i="28"/>
  <c r="H48" i="28"/>
  <c r="H53" i="28"/>
  <c r="H27" i="28"/>
  <c r="M30" i="28"/>
  <c r="M34" i="28"/>
  <c r="H38" i="28"/>
  <c r="M41" i="28"/>
  <c r="H32" i="28"/>
  <c r="M35" i="28"/>
  <c r="H3" i="28"/>
  <c r="I6" i="28"/>
  <c r="H11" i="28"/>
  <c r="I14" i="28"/>
  <c r="H19" i="28"/>
  <c r="I22" i="28"/>
  <c r="H6" i="28"/>
  <c r="I9" i="28"/>
  <c r="H14" i="28"/>
  <c r="I17" i="28"/>
  <c r="H22" i="28"/>
  <c r="I25" i="28"/>
  <c r="I4" i="28"/>
  <c r="H9" i="28"/>
  <c r="I12" i="28"/>
  <c r="H17" i="28"/>
  <c r="I20" i="28"/>
  <c r="H25" i="28"/>
  <c r="H4" i="28"/>
  <c r="I7" i="28"/>
  <c r="H12" i="28"/>
  <c r="I15" i="28"/>
  <c r="H20" i="28"/>
  <c r="I23" i="28"/>
  <c r="N22" i="28" l="1"/>
  <c r="N5" i="28"/>
  <c r="N21" i="28"/>
  <c r="N16" i="28"/>
  <c r="N7" i="28"/>
  <c r="N23" i="28"/>
  <c r="N10" i="28"/>
  <c r="N9" i="28"/>
  <c r="N4" i="28"/>
  <c r="N20" i="28"/>
  <c r="N11" i="28"/>
  <c r="N25" i="28"/>
  <c r="N14" i="28"/>
  <c r="N66" i="28"/>
  <c r="N62" i="28"/>
  <c r="N58" i="28"/>
  <c r="N67" i="28"/>
  <c r="N63" i="28"/>
  <c r="N59" i="28"/>
  <c r="N55" i="28"/>
  <c r="N65" i="28"/>
  <c r="N61" i="28"/>
  <c r="N57" i="28"/>
  <c r="N64" i="28"/>
  <c r="N68" i="28"/>
  <c r="N60" i="28"/>
  <c r="N56" i="28"/>
  <c r="N13" i="28"/>
  <c r="N8" i="28"/>
  <c r="N24" i="28"/>
  <c r="N15" i="28"/>
  <c r="N2" i="28"/>
  <c r="N18" i="28"/>
  <c r="N82" i="28"/>
  <c r="N78" i="28"/>
  <c r="N74" i="28"/>
  <c r="N70" i="28"/>
  <c r="N79" i="28"/>
  <c r="N75" i="28"/>
  <c r="N71" i="28"/>
  <c r="N80" i="28"/>
  <c r="N81" i="28"/>
  <c r="N77" i="28"/>
  <c r="N73" i="28"/>
  <c r="N69" i="28"/>
  <c r="N72" i="28"/>
  <c r="N76" i="28"/>
  <c r="C95" i="29"/>
  <c r="C91" i="29"/>
  <c r="C87" i="29"/>
  <c r="C83" i="29"/>
  <c r="C80" i="29"/>
  <c r="C76" i="29"/>
  <c r="C72" i="29"/>
  <c r="C65" i="29"/>
  <c r="C61" i="29"/>
  <c r="C57" i="29"/>
  <c r="C54" i="29"/>
  <c r="C50" i="29"/>
  <c r="C46" i="29"/>
  <c r="C42" i="29"/>
  <c r="C94" i="29"/>
  <c r="C90" i="29"/>
  <c r="C86" i="29"/>
  <c r="C79" i="29"/>
  <c r="C75" i="29"/>
  <c r="C71" i="29"/>
  <c r="C68" i="29"/>
  <c r="C64" i="29"/>
  <c r="C60" i="29"/>
  <c r="C53" i="29"/>
  <c r="C49" i="29"/>
  <c r="C93" i="29"/>
  <c r="C89" i="29"/>
  <c r="C85" i="29"/>
  <c r="C82" i="29"/>
  <c r="C78" i="29"/>
  <c r="C74" i="29"/>
  <c r="C70" i="29"/>
  <c r="C67" i="29"/>
  <c r="C63" i="29"/>
  <c r="C59" i="29"/>
  <c r="C56" i="29"/>
  <c r="C52" i="29"/>
  <c r="C48" i="29"/>
  <c r="C44" i="29"/>
  <c r="C40" i="29"/>
  <c r="C37" i="29"/>
  <c r="C92" i="29"/>
  <c r="C88" i="29"/>
  <c r="C84" i="29"/>
  <c r="C81" i="29"/>
  <c r="C77" i="29"/>
  <c r="C73" i="29"/>
  <c r="C69" i="29"/>
  <c r="C66" i="29"/>
  <c r="C62" i="29"/>
  <c r="C58" i="29"/>
  <c r="C55" i="29"/>
  <c r="C51" i="29"/>
  <c r="C47" i="29"/>
  <c r="C43" i="29"/>
  <c r="C38" i="29"/>
  <c r="C33" i="29"/>
  <c r="C29" i="29"/>
  <c r="C25" i="29"/>
  <c r="C21" i="29"/>
  <c r="C17" i="29"/>
  <c r="C32" i="29"/>
  <c r="C28" i="29"/>
  <c r="C24" i="29"/>
  <c r="C20" i="29"/>
  <c r="C16" i="29"/>
  <c r="C41" i="29"/>
  <c r="C35" i="29"/>
  <c r="C31" i="29"/>
  <c r="C27" i="29"/>
  <c r="C23" i="29"/>
  <c r="C19" i="29"/>
  <c r="C45" i="29"/>
  <c r="C39" i="29"/>
  <c r="C36" i="29"/>
  <c r="C34" i="29"/>
  <c r="C30" i="29"/>
  <c r="C26" i="29"/>
  <c r="C22" i="29"/>
  <c r="C18" i="29"/>
  <c r="C15" i="29"/>
  <c r="K15" i="29" s="1"/>
  <c r="N42" i="28"/>
  <c r="N38" i="28"/>
  <c r="N34" i="28"/>
  <c r="N30" i="28"/>
  <c r="N26" i="28"/>
  <c r="N39" i="28"/>
  <c r="N40" i="28"/>
  <c r="N36" i="28"/>
  <c r="N32" i="28"/>
  <c r="N28" i="28"/>
  <c r="N41" i="28"/>
  <c r="N27" i="28"/>
  <c r="N35" i="28"/>
  <c r="N33" i="28"/>
  <c r="N31" i="28"/>
  <c r="N29" i="28"/>
  <c r="N37" i="28"/>
  <c r="N17" i="28"/>
  <c r="N12" i="28"/>
  <c r="N3" i="28"/>
  <c r="N19" i="28"/>
  <c r="N6" i="28"/>
  <c r="N54" i="28"/>
  <c r="N51" i="28"/>
  <c r="N52" i="28"/>
  <c r="N46" i="28"/>
  <c r="N50" i="28"/>
  <c r="N49" i="28"/>
  <c r="N47" i="28"/>
  <c r="N43" i="28"/>
  <c r="N48" i="28"/>
  <c r="N44" i="28"/>
  <c r="N53" i="28"/>
  <c r="N45" i="28"/>
  <c r="F15" i="29" l="1"/>
  <c r="E15" i="29"/>
  <c r="H15" i="29"/>
  <c r="D15" i="29"/>
  <c r="B15" i="29" s="1"/>
  <c r="G15" i="29"/>
  <c r="K30" i="29"/>
  <c r="F30" i="29"/>
  <c r="E30" i="29"/>
  <c r="H30" i="29"/>
  <c r="D30" i="29"/>
  <c r="B30" i="29" s="1"/>
  <c r="G30" i="29"/>
  <c r="H45" i="29"/>
  <c r="D45" i="29"/>
  <c r="B45" i="29" s="1"/>
  <c r="K45" i="29"/>
  <c r="F45" i="29"/>
  <c r="E45" i="29"/>
  <c r="G45" i="29"/>
  <c r="E31" i="29"/>
  <c r="H31" i="29"/>
  <c r="D31" i="29"/>
  <c r="B31" i="29" s="1"/>
  <c r="G31" i="29"/>
  <c r="K31" i="29"/>
  <c r="F31" i="29"/>
  <c r="H20" i="29"/>
  <c r="D20" i="29"/>
  <c r="B20" i="29" s="1"/>
  <c r="G20" i="29"/>
  <c r="K20" i="29"/>
  <c r="F20" i="29"/>
  <c r="E20" i="29"/>
  <c r="G17" i="29"/>
  <c r="K17" i="29"/>
  <c r="F17" i="29"/>
  <c r="E17" i="29"/>
  <c r="H17" i="29"/>
  <c r="D17" i="29"/>
  <c r="B17" i="29" s="1"/>
  <c r="G33" i="29"/>
  <c r="K33" i="29"/>
  <c r="F33" i="29"/>
  <c r="E33" i="29"/>
  <c r="H33" i="29"/>
  <c r="D33" i="29"/>
  <c r="B33" i="29" s="1"/>
  <c r="K51" i="29"/>
  <c r="F51" i="29"/>
  <c r="E51" i="29"/>
  <c r="H51" i="29"/>
  <c r="D51" i="29"/>
  <c r="B51" i="29" s="1"/>
  <c r="G51" i="29"/>
  <c r="K66" i="29"/>
  <c r="F66" i="29"/>
  <c r="E66" i="29"/>
  <c r="H66" i="29"/>
  <c r="D66" i="29"/>
  <c r="B66" i="29" s="1"/>
  <c r="G66" i="29"/>
  <c r="K81" i="29"/>
  <c r="F81" i="29"/>
  <c r="E81" i="29"/>
  <c r="H81" i="29"/>
  <c r="D81" i="29"/>
  <c r="B81" i="29" s="1"/>
  <c r="G81" i="29"/>
  <c r="E44" i="29"/>
  <c r="G44" i="29"/>
  <c r="K44" i="29"/>
  <c r="F44" i="29"/>
  <c r="H44" i="29"/>
  <c r="D44" i="29"/>
  <c r="B44" i="29" s="1"/>
  <c r="E59" i="29"/>
  <c r="H59" i="29"/>
  <c r="D59" i="29"/>
  <c r="B59" i="29" s="1"/>
  <c r="G59" i="29"/>
  <c r="K59" i="29"/>
  <c r="F59" i="29"/>
  <c r="E74" i="29"/>
  <c r="H74" i="29"/>
  <c r="D74" i="29"/>
  <c r="B74" i="29" s="1"/>
  <c r="G74" i="29"/>
  <c r="K74" i="29"/>
  <c r="F74" i="29"/>
  <c r="E89" i="29"/>
  <c r="H89" i="29"/>
  <c r="D89" i="29"/>
  <c r="B89" i="29" s="1"/>
  <c r="G89" i="29"/>
  <c r="K89" i="29"/>
  <c r="F89" i="29"/>
  <c r="H60" i="29"/>
  <c r="D60" i="29"/>
  <c r="B60" i="29" s="1"/>
  <c r="G60" i="29"/>
  <c r="K60" i="29"/>
  <c r="F60" i="29"/>
  <c r="E60" i="29"/>
  <c r="H75" i="29"/>
  <c r="D75" i="29"/>
  <c r="B75" i="29" s="1"/>
  <c r="G75" i="29"/>
  <c r="K75" i="29"/>
  <c r="F75" i="29"/>
  <c r="E75" i="29"/>
  <c r="H94" i="29"/>
  <c r="D94" i="29"/>
  <c r="B94" i="29" s="1"/>
  <c r="G94" i="29"/>
  <c r="K94" i="29"/>
  <c r="F94" i="29"/>
  <c r="E94" i="29"/>
  <c r="G54" i="29"/>
  <c r="K54" i="29"/>
  <c r="F54" i="29"/>
  <c r="E54" i="29"/>
  <c r="H54" i="29"/>
  <c r="D54" i="29"/>
  <c r="B54" i="29" s="1"/>
  <c r="G72" i="29"/>
  <c r="K72" i="29"/>
  <c r="F72" i="29"/>
  <c r="E72" i="29"/>
  <c r="H72" i="29"/>
  <c r="D72" i="29"/>
  <c r="B72" i="29" s="1"/>
  <c r="G87" i="29"/>
  <c r="K87" i="29"/>
  <c r="F87" i="29"/>
  <c r="E87" i="29"/>
  <c r="H87" i="29"/>
  <c r="D87" i="29"/>
  <c r="B87" i="29" s="1"/>
  <c r="G33" i="26"/>
  <c r="O33" i="26" s="1"/>
  <c r="E33" i="26"/>
  <c r="K18" i="29"/>
  <c r="F18" i="29"/>
  <c r="E18" i="29"/>
  <c r="H18" i="29"/>
  <c r="D18" i="29"/>
  <c r="B18" i="29" s="1"/>
  <c r="G18" i="29"/>
  <c r="K34" i="29"/>
  <c r="F34" i="29"/>
  <c r="E34" i="29"/>
  <c r="H34" i="29"/>
  <c r="D34" i="29"/>
  <c r="B34" i="29" s="1"/>
  <c r="G34" i="29"/>
  <c r="E19" i="29"/>
  <c r="H19" i="29"/>
  <c r="D19" i="29"/>
  <c r="B19" i="29" s="1"/>
  <c r="G19" i="29"/>
  <c r="K19" i="29"/>
  <c r="F19" i="29"/>
  <c r="E35" i="29"/>
  <c r="F35" i="29"/>
  <c r="K35" i="29"/>
  <c r="D35" i="29"/>
  <c r="B35" i="29" s="1"/>
  <c r="H35" i="29"/>
  <c r="G35" i="29"/>
  <c r="H24" i="29"/>
  <c r="D24" i="29"/>
  <c r="B24" i="29" s="1"/>
  <c r="G24" i="29"/>
  <c r="K24" i="29"/>
  <c r="F24" i="29"/>
  <c r="E24" i="29"/>
  <c r="G21" i="29"/>
  <c r="K21" i="29"/>
  <c r="F21" i="29"/>
  <c r="E21" i="29"/>
  <c r="H21" i="29"/>
  <c r="D21" i="29"/>
  <c r="B21" i="29" s="1"/>
  <c r="K38" i="29"/>
  <c r="F38" i="29"/>
  <c r="E38" i="29"/>
  <c r="H38" i="29"/>
  <c r="G38" i="29"/>
  <c r="D38" i="29"/>
  <c r="B38" i="29" s="1"/>
  <c r="K55" i="29"/>
  <c r="F55" i="29"/>
  <c r="E55" i="29"/>
  <c r="H55" i="29"/>
  <c r="D55" i="29"/>
  <c r="B55" i="29" s="1"/>
  <c r="G55" i="29"/>
  <c r="K69" i="29"/>
  <c r="F69" i="29"/>
  <c r="E69" i="29"/>
  <c r="H69" i="29"/>
  <c r="D69" i="29"/>
  <c r="B69" i="29" s="1"/>
  <c r="G69" i="29"/>
  <c r="K84" i="29"/>
  <c r="F84" i="29"/>
  <c r="E84" i="29"/>
  <c r="H84" i="29"/>
  <c r="D84" i="29"/>
  <c r="B84" i="29" s="1"/>
  <c r="G84" i="29"/>
  <c r="E48" i="29"/>
  <c r="H48" i="29"/>
  <c r="D48" i="29"/>
  <c r="B48" i="29" s="1"/>
  <c r="G48" i="29"/>
  <c r="K48" i="29"/>
  <c r="F48" i="29"/>
  <c r="E63" i="29"/>
  <c r="H63" i="29"/>
  <c r="D63" i="29"/>
  <c r="B63" i="29" s="1"/>
  <c r="G63" i="29"/>
  <c r="K63" i="29"/>
  <c r="F63" i="29"/>
  <c r="E78" i="29"/>
  <c r="H78" i="29"/>
  <c r="D78" i="29"/>
  <c r="B78" i="29" s="1"/>
  <c r="G78" i="29"/>
  <c r="K78" i="29"/>
  <c r="F78" i="29"/>
  <c r="E93" i="29"/>
  <c r="H93" i="29"/>
  <c r="D93" i="29"/>
  <c r="B93" i="29" s="1"/>
  <c r="G93" i="29"/>
  <c r="K93" i="29"/>
  <c r="F93" i="29"/>
  <c r="H64" i="29"/>
  <c r="D64" i="29"/>
  <c r="B64" i="29" s="1"/>
  <c r="G64" i="29"/>
  <c r="K64" i="29"/>
  <c r="F64" i="29"/>
  <c r="E64" i="29"/>
  <c r="H79" i="29"/>
  <c r="D79" i="29"/>
  <c r="B79" i="29" s="1"/>
  <c r="G79" i="29"/>
  <c r="K79" i="29"/>
  <c r="F79" i="29"/>
  <c r="E79" i="29"/>
  <c r="G42" i="29"/>
  <c r="E42" i="29"/>
  <c r="H42" i="29"/>
  <c r="D42" i="29"/>
  <c r="B42" i="29" s="1"/>
  <c r="K42" i="29"/>
  <c r="F42" i="29"/>
  <c r="G57" i="29"/>
  <c r="K57" i="29"/>
  <c r="F57" i="29"/>
  <c r="E57" i="29"/>
  <c r="H57" i="29"/>
  <c r="D57" i="29"/>
  <c r="B57" i="29" s="1"/>
  <c r="G76" i="29"/>
  <c r="K76" i="29"/>
  <c r="F76" i="29"/>
  <c r="E76" i="29"/>
  <c r="H76" i="29"/>
  <c r="D76" i="29"/>
  <c r="B76" i="29" s="1"/>
  <c r="G91" i="29"/>
  <c r="K91" i="29"/>
  <c r="F91" i="29"/>
  <c r="E91" i="29"/>
  <c r="H91" i="29"/>
  <c r="D91" i="29"/>
  <c r="B91" i="29" s="1"/>
  <c r="G25" i="26"/>
  <c r="E25" i="26"/>
  <c r="E31" i="26"/>
  <c r="G31" i="26"/>
  <c r="O31" i="26" s="1"/>
  <c r="G29" i="26"/>
  <c r="O29" i="26" s="1"/>
  <c r="E29" i="26"/>
  <c r="K22" i="29"/>
  <c r="F22" i="29"/>
  <c r="E22" i="29"/>
  <c r="H22" i="29"/>
  <c r="D22" i="29"/>
  <c r="B22" i="29" s="1"/>
  <c r="G22" i="29"/>
  <c r="H36" i="29"/>
  <c r="D36" i="29"/>
  <c r="B36" i="29" s="1"/>
  <c r="G36" i="29"/>
  <c r="F36" i="29"/>
  <c r="K36" i="29"/>
  <c r="E36" i="29"/>
  <c r="E23" i="29"/>
  <c r="H23" i="29"/>
  <c r="D23" i="29"/>
  <c r="B23" i="29" s="1"/>
  <c r="G23" i="29"/>
  <c r="K23" i="29"/>
  <c r="F23" i="29"/>
  <c r="K41" i="29"/>
  <c r="F41" i="29"/>
  <c r="E41" i="29"/>
  <c r="G41" i="29"/>
  <c r="D41" i="29"/>
  <c r="B41" i="29" s="1"/>
  <c r="H41" i="29"/>
  <c r="H28" i="29"/>
  <c r="D28" i="29"/>
  <c r="B28" i="29" s="1"/>
  <c r="G28" i="29"/>
  <c r="K28" i="29"/>
  <c r="F28" i="29"/>
  <c r="E28" i="29"/>
  <c r="G25" i="29"/>
  <c r="K25" i="29"/>
  <c r="F25" i="29"/>
  <c r="E25" i="29"/>
  <c r="H25" i="29"/>
  <c r="D25" i="29"/>
  <c r="B25" i="29" s="1"/>
  <c r="K43" i="29"/>
  <c r="F43" i="29"/>
  <c r="H43" i="29"/>
  <c r="D43" i="29"/>
  <c r="B43" i="29" s="1"/>
  <c r="G43" i="29"/>
  <c r="E43" i="29"/>
  <c r="K58" i="29"/>
  <c r="F58" i="29"/>
  <c r="E58" i="29"/>
  <c r="H58" i="29"/>
  <c r="D58" i="29"/>
  <c r="B58" i="29" s="1"/>
  <c r="G58" i="29"/>
  <c r="K73" i="29"/>
  <c r="F73" i="29"/>
  <c r="E73" i="29"/>
  <c r="H73" i="29"/>
  <c r="D73" i="29"/>
  <c r="B73" i="29" s="1"/>
  <c r="G73" i="29"/>
  <c r="K88" i="29"/>
  <c r="F88" i="29"/>
  <c r="E88" i="29"/>
  <c r="H88" i="29"/>
  <c r="D88" i="29"/>
  <c r="B88" i="29" s="1"/>
  <c r="G88" i="29"/>
  <c r="G37" i="29"/>
  <c r="K37" i="29"/>
  <c r="F37" i="29"/>
  <c r="D37" i="29"/>
  <c r="B37" i="29" s="1"/>
  <c r="H37" i="29"/>
  <c r="E37" i="29"/>
  <c r="E52" i="29"/>
  <c r="H52" i="29"/>
  <c r="D52" i="29"/>
  <c r="B52" i="29" s="1"/>
  <c r="G52" i="29"/>
  <c r="K52" i="29"/>
  <c r="F52" i="29"/>
  <c r="E67" i="29"/>
  <c r="H67" i="29"/>
  <c r="D67" i="29"/>
  <c r="B67" i="29" s="1"/>
  <c r="G67" i="29"/>
  <c r="K67" i="29"/>
  <c r="F67" i="29"/>
  <c r="E82" i="29"/>
  <c r="H82" i="29"/>
  <c r="D82" i="29"/>
  <c r="B82" i="29" s="1"/>
  <c r="G82" i="29"/>
  <c r="K82" i="29"/>
  <c r="F82" i="29"/>
  <c r="H49" i="29"/>
  <c r="D49" i="29"/>
  <c r="B49" i="29" s="1"/>
  <c r="G49" i="29"/>
  <c r="K49" i="29"/>
  <c r="F49" i="29"/>
  <c r="E49" i="29"/>
  <c r="H68" i="29"/>
  <c r="D68" i="29"/>
  <c r="B68" i="29" s="1"/>
  <c r="G68" i="29"/>
  <c r="K68" i="29"/>
  <c r="F68" i="29"/>
  <c r="E68" i="29"/>
  <c r="H86" i="29"/>
  <c r="D86" i="29"/>
  <c r="B86" i="29" s="1"/>
  <c r="G86" i="29"/>
  <c r="K86" i="29"/>
  <c r="F86" i="29"/>
  <c r="E86" i="29"/>
  <c r="G46" i="29"/>
  <c r="E46" i="29"/>
  <c r="H46" i="29"/>
  <c r="D46" i="29"/>
  <c r="B46" i="29" s="1"/>
  <c r="F46" i="29"/>
  <c r="K46" i="29"/>
  <c r="G61" i="29"/>
  <c r="K61" i="29"/>
  <c r="F61" i="29"/>
  <c r="E61" i="29"/>
  <c r="H61" i="29"/>
  <c r="D61" i="29"/>
  <c r="B61" i="29" s="1"/>
  <c r="G80" i="29"/>
  <c r="K80" i="29"/>
  <c r="F80" i="29"/>
  <c r="E80" i="29"/>
  <c r="H80" i="29"/>
  <c r="D80" i="29"/>
  <c r="B80" i="29" s="1"/>
  <c r="G95" i="29"/>
  <c r="K95" i="29"/>
  <c r="F95" i="29"/>
  <c r="E95" i="29"/>
  <c r="H95" i="29"/>
  <c r="D95" i="29"/>
  <c r="B95" i="29" s="1"/>
  <c r="G27" i="26"/>
  <c r="O27" i="26" s="1"/>
  <c r="E27" i="26"/>
  <c r="K26" i="29"/>
  <c r="F26" i="29"/>
  <c r="E26" i="29"/>
  <c r="H26" i="29"/>
  <c r="D26" i="29"/>
  <c r="B26" i="29" s="1"/>
  <c r="G26" i="29"/>
  <c r="E39" i="29"/>
  <c r="H39" i="29"/>
  <c r="D39" i="29"/>
  <c r="B39" i="29" s="1"/>
  <c r="K39" i="29"/>
  <c r="G39" i="29"/>
  <c r="F39" i="29"/>
  <c r="E27" i="29"/>
  <c r="H27" i="29"/>
  <c r="D27" i="29"/>
  <c r="B27" i="29" s="1"/>
  <c r="G27" i="29"/>
  <c r="K27" i="29"/>
  <c r="F27" i="29"/>
  <c r="H16" i="29"/>
  <c r="D16" i="29"/>
  <c r="B16" i="29" s="1"/>
  <c r="G16" i="29"/>
  <c r="K16" i="29"/>
  <c r="F16" i="29"/>
  <c r="E16" i="29"/>
  <c r="H32" i="29"/>
  <c r="D32" i="29"/>
  <c r="B32" i="29" s="1"/>
  <c r="G32" i="29"/>
  <c r="K32" i="29"/>
  <c r="F32" i="29"/>
  <c r="E32" i="29"/>
  <c r="G29" i="29"/>
  <c r="K29" i="29"/>
  <c r="F29" i="29"/>
  <c r="E29" i="29"/>
  <c r="H29" i="29"/>
  <c r="D29" i="29"/>
  <c r="B29" i="29" s="1"/>
  <c r="K47" i="29"/>
  <c r="F47" i="29"/>
  <c r="H47" i="29"/>
  <c r="D47" i="29"/>
  <c r="B47" i="29" s="1"/>
  <c r="G47" i="29"/>
  <c r="E47" i="29"/>
  <c r="K62" i="29"/>
  <c r="F62" i="29"/>
  <c r="E62" i="29"/>
  <c r="H62" i="29"/>
  <c r="D62" i="29"/>
  <c r="B62" i="29" s="1"/>
  <c r="G62" i="29"/>
  <c r="K77" i="29"/>
  <c r="F77" i="29"/>
  <c r="E77" i="29"/>
  <c r="H77" i="29"/>
  <c r="D77" i="29"/>
  <c r="B77" i="29" s="1"/>
  <c r="G77" i="29"/>
  <c r="K92" i="29"/>
  <c r="F92" i="29"/>
  <c r="E92" i="29"/>
  <c r="H92" i="29"/>
  <c r="D92" i="29"/>
  <c r="B92" i="29" s="1"/>
  <c r="G92" i="29"/>
  <c r="G40" i="29"/>
  <c r="K40" i="29"/>
  <c r="F40" i="29"/>
  <c r="H40" i="29"/>
  <c r="E40" i="29"/>
  <c r="D40" i="29"/>
  <c r="B40" i="29" s="1"/>
  <c r="E56" i="29"/>
  <c r="H56" i="29"/>
  <c r="D56" i="29"/>
  <c r="B56" i="29" s="1"/>
  <c r="G56" i="29"/>
  <c r="K56" i="29"/>
  <c r="F56" i="29"/>
  <c r="E70" i="29"/>
  <c r="H70" i="29"/>
  <c r="D70" i="29"/>
  <c r="B70" i="29" s="1"/>
  <c r="G70" i="29"/>
  <c r="K70" i="29"/>
  <c r="F70" i="29"/>
  <c r="E85" i="29"/>
  <c r="H85" i="29"/>
  <c r="D85" i="29"/>
  <c r="B85" i="29" s="1"/>
  <c r="G85" i="29"/>
  <c r="K85" i="29"/>
  <c r="F85" i="29"/>
  <c r="H53" i="29"/>
  <c r="D53" i="29"/>
  <c r="B53" i="29" s="1"/>
  <c r="G53" i="29"/>
  <c r="K53" i="29"/>
  <c r="F53" i="29"/>
  <c r="E53" i="29"/>
  <c r="H71" i="29"/>
  <c r="D71" i="29"/>
  <c r="B71" i="29" s="1"/>
  <c r="G71" i="29"/>
  <c r="K71" i="29"/>
  <c r="F71" i="29"/>
  <c r="E71" i="29"/>
  <c r="H90" i="29"/>
  <c r="D90" i="29"/>
  <c r="B90" i="29" s="1"/>
  <c r="G90" i="29"/>
  <c r="K90" i="29"/>
  <c r="F90" i="29"/>
  <c r="E90" i="29"/>
  <c r="G50" i="29"/>
  <c r="K50" i="29"/>
  <c r="F50" i="29"/>
  <c r="E50" i="29"/>
  <c r="H50" i="29"/>
  <c r="D50" i="29"/>
  <c r="B50" i="29" s="1"/>
  <c r="G65" i="29"/>
  <c r="K65" i="29"/>
  <c r="F65" i="29"/>
  <c r="E65" i="29"/>
  <c r="H65" i="29"/>
  <c r="D65" i="29"/>
  <c r="B65" i="29" s="1"/>
  <c r="G83" i="29"/>
  <c r="K83" i="29"/>
  <c r="F83" i="29"/>
  <c r="E83" i="29"/>
  <c r="H83" i="29"/>
  <c r="D83" i="29"/>
  <c r="B83" i="29" s="1"/>
  <c r="I77" i="29" l="1"/>
  <c r="I26" i="29"/>
  <c r="I45" i="29"/>
  <c r="I47" i="29"/>
  <c r="I70" i="29"/>
  <c r="I53" i="29"/>
  <c r="I74" i="29"/>
  <c r="I46" i="29"/>
  <c r="I42" i="29"/>
  <c r="I94" i="29"/>
  <c r="I60" i="29"/>
  <c r="I67" i="29"/>
  <c r="I86" i="29"/>
  <c r="I49" i="29"/>
  <c r="I69" i="29"/>
  <c r="I18" i="29"/>
  <c r="I38" i="29"/>
  <c r="I90" i="29"/>
  <c r="I41" i="29"/>
  <c r="I66" i="29"/>
  <c r="I15" i="29"/>
  <c r="I36" i="29"/>
  <c r="I64" i="29"/>
  <c r="I73" i="29"/>
  <c r="I22" i="29"/>
  <c r="I16" i="29"/>
  <c r="I43" i="29"/>
  <c r="I39" i="29"/>
  <c r="I78" i="29"/>
  <c r="I48" i="29"/>
  <c r="I31" i="29"/>
  <c r="I40" i="29"/>
  <c r="I65" i="29"/>
  <c r="L56" i="29"/>
  <c r="I92" i="29"/>
  <c r="I62" i="29"/>
  <c r="I27" i="29"/>
  <c r="I95" i="29"/>
  <c r="I61" i="29"/>
  <c r="L68" i="29"/>
  <c r="L82" i="29"/>
  <c r="I88" i="29"/>
  <c r="I58" i="29"/>
  <c r="I23" i="29"/>
  <c r="I79" i="29"/>
  <c r="I93" i="29"/>
  <c r="I63" i="29"/>
  <c r="I84" i="29"/>
  <c r="I55" i="29"/>
  <c r="I35" i="29"/>
  <c r="I19" i="29"/>
  <c r="I34" i="29"/>
  <c r="I75" i="29"/>
  <c r="I89" i="29"/>
  <c r="I59" i="29"/>
  <c r="I44" i="29"/>
  <c r="I81" i="29"/>
  <c r="I51" i="29"/>
  <c r="I30" i="29"/>
  <c r="I71" i="29"/>
  <c r="I85" i="29"/>
  <c r="I56" i="29"/>
  <c r="I29" i="29"/>
  <c r="I32" i="29"/>
  <c r="I68" i="29"/>
  <c r="I82" i="29"/>
  <c r="I52" i="29"/>
  <c r="I25" i="29"/>
  <c r="I28" i="29"/>
  <c r="M7" i="26"/>
  <c r="O25" i="26"/>
  <c r="I91" i="29"/>
  <c r="I57" i="29"/>
  <c r="I21" i="29"/>
  <c r="I24" i="29"/>
  <c r="I87" i="29"/>
  <c r="I54" i="29"/>
  <c r="I17" i="29"/>
  <c r="I20" i="29"/>
  <c r="I83" i="29"/>
  <c r="I50" i="29"/>
  <c r="L39" i="29"/>
  <c r="I80" i="29"/>
  <c r="I37" i="29"/>
  <c r="I76" i="29"/>
  <c r="I72" i="29"/>
  <c r="I33" i="29"/>
  <c r="L1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CONTROL INTERNO Y EVAL DE GESTION(6)</author>
  </authors>
  <commentList>
    <comment ref="H124" authorId="0" shapeId="0" xr:uid="{0B7DD097-E3E7-4BB6-AA2C-F79DA431CF52}">
      <text>
        <r>
          <rPr>
            <sz val="10"/>
            <color theme="1"/>
            <rFont val="Arial"/>
            <family val="2"/>
          </rPr>
          <t xml:space="preserve">CONTROL INTERNO Y EVAL DE GESTION(6):
</t>
        </r>
      </text>
    </comment>
  </commentList>
</comments>
</file>

<file path=xl/sharedStrings.xml><?xml version="1.0" encoding="utf-8"?>
<sst xmlns="http://schemas.openxmlformats.org/spreadsheetml/2006/main" count="1401" uniqueCount="946">
  <si>
    <t>EVALUACIÓN INDEPENDIENTE SISTEMA DE CONTROL INTERNO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</si>
  <si>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 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</si>
  <si>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Orientaciones Generales</t>
  </si>
  <si>
    <r>
      <t xml:space="preserve">El archivo contiene las siguientes hojas:
 -  </t>
    </r>
    <r>
      <rPr>
        <b/>
        <sz val="11"/>
        <rFont val="Arial Narrow"/>
        <family val="2"/>
      </rPr>
      <t xml:space="preserve">Pestañas por cada uno de los componentes de control interno: </t>
    </r>
    <r>
      <rPr>
        <sz val="10"/>
        <rFont val="Arial Narrow"/>
        <family val="2"/>
      </rPr>
      <t>"Ambiente de Control", "Evaluación de riesgos", "Actividades de control", "Información y Comunicación", y " Actividades de Monitoreo". las cuales cuentan todas con la siguiente estructura:</t>
    </r>
  </si>
  <si>
    <t>Columna</t>
  </si>
  <si>
    <t>Descripción</t>
  </si>
  <si>
    <r>
      <t xml:space="preserve">
</t>
    </r>
    <r>
      <rPr>
        <b/>
        <i/>
        <u/>
        <sz val="9"/>
        <rFont val="Arial Narrow"/>
        <family val="2"/>
      </rPr>
      <t>Lineamiento X:</t>
    </r>
  </si>
  <si>
    <t>Esta columna define los lineamientos generales para cada uno de los componentes del MECI y se asocian los temas específicos que se deben analizar en cada uno.</t>
  </si>
  <si>
    <t>DIMENSIÓN O POLÍTICA DEL MIPG ASOCIADA AL REQUERIMIENTO</t>
  </si>
  <si>
    <t>En esta columna se deben asociar la (las) dimensión (es), así como la (s) política (s) de gestión y desempeño que permiten el desarrollo del tema en la entidad, en el marco del Modelo Integrado de Planeación y Gestión MIPG.</t>
  </si>
  <si>
    <r>
      <t>Evaluación "</t>
    </r>
    <r>
      <rPr>
        <b/>
        <sz val="10"/>
        <rFont val="Arial Narrow"/>
        <family val="2"/>
      </rPr>
      <t>si se encuentra Presente"</t>
    </r>
    <r>
      <rPr>
        <b/>
        <sz val="9"/>
        <rFont val="Arial Narrow"/>
        <family val="2"/>
      </rPr>
      <t xml:space="preserve">
</t>
    </r>
    <r>
      <rPr>
        <sz val="9"/>
        <rFont val="Arial Narrow"/>
        <family val="2"/>
      </rPr>
      <t>Referencia a Procesos, Manuales/Políticas de Operación/Procedimientos/Instructivos u otros desarrollos que den cuente de su aplicación</t>
    </r>
  </si>
  <si>
    <t>Indicar el nombre del proceso, manual, política de operación, procedimiento o instructivo en donde se encuentra documentado y su fuente de consulta.
De acuerdo con lo identificado como resultado de la evaluación del requerimiento, seleccione de la lista desplegable 1, 2 o 3 de acuerdo con las siguientes definiciones:
1 - No existen actividades diseñadas para cubrir el requerimiento. 
2 - Existen actividades diseñadas o en proceso de diseño, pero éstas no se encuentran documentadas en las políticas/procedimientos u otras herramientas
3 - Las actividades se encuentran diseñadas, documentadas y socializadas de acuerdo con el requerimiento.
Nota: Entiendase "diseñada" como aquella actividad que cuenta con un responsable(s), periodicidad (cada cuanto se realiza ), proposito (objetivo), Como se lleva a cabo  (procedimiento), qué pasa con las desviaciones y/o excepciones (producto de su ejecucion) y cuenta con evidencia (documentacion).</t>
  </si>
  <si>
    <t>EVIDENCIA DEL CONTROL</t>
  </si>
  <si>
    <t>No.</t>
  </si>
  <si>
    <t>Relaciona el consecutivo de las evidencias que se identifican en relación con la efectividad del control.</t>
  </si>
  <si>
    <t>Referencia a Análisis y verificaciones</t>
  </si>
  <si>
    <t>Indicar las acciones que se han adelantado para evaluar el estado del Sistema de Control Interno. Acciones entendidas a las modificaciones, actualizaciones y actividades de fortalecimiento del sistema a partir de la normatividad vigente.</t>
  </si>
  <si>
    <t xml:space="preserve">Observaciones de la evaluacion independiente (tener encuenta papel de  líneas de defensa) </t>
  </si>
  <si>
    <t>Indicar las acciones que se han adelantado en el marco de la evaluaciòn independiente (auditoria interna), sobre el estado del Sistema de Control Interno . Acciones entendidas en la evaluación y monitoreo de la efectividad del control, incluyendo el seguimiento a los controles de la primera y segunda linea de defensa.</t>
  </si>
  <si>
    <r>
      <t xml:space="preserve">Evaluación </t>
    </r>
    <r>
      <rPr>
        <b/>
        <sz val="10"/>
        <rFont val="Arial Narrow"/>
        <family val="2"/>
      </rPr>
      <t>"si se encuentra Funcionando"</t>
    </r>
  </si>
  <si>
    <t>Seleccionar de la lista desplegable 1, 2 o 3 de acuerdo con los siguientes criterios y basado en los resultados reportados por la Oficina de Control Interno así:
1 - El control  no opera como está diseñado o bien no está presente (no se ha implementado)
2 - El control opera como está diseñado pero con algunas falencias
3-  El control opera como está diseñado y es efectivo frente al cumplimiento de los objetivos y para evitar la materialización del riesgo.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</si>
  <si>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permitiéndo definir puntos de mejora a través de los componentes del MECI y su articulacion con las Dimensiones del MIPG.</t>
    </r>
  </si>
  <si>
    <t xml:space="preserve">Clasificación </t>
  </si>
  <si>
    <t>Observaciones del Control</t>
  </si>
  <si>
    <t>Mantenimiento del Control</t>
  </si>
  <si>
    <t>Cuando en el análisis de los requerimientos en los diferentes componentes del MECI se cuente con aspectos evaluados en nivel 3 (presente) y 3 (funcionando).</t>
  </si>
  <si>
    <t>Se encuentra presente y funciona correctamente, por lo tanto se requiere acciones o actividades  dirigidas a su mantenimiento dentro del marco de las lineas de defensa.</t>
  </si>
  <si>
    <t>Oportunidad de Mejora</t>
  </si>
  <si>
    <t>Cuando en el análisis de los requerimientos en los diferentes componentes del MECI se cuente con aspectos evaluados en nivel 2 (presente) y 3 (funcionando).</t>
  </si>
  <si>
    <t xml:space="preserve"> Se encuentra presente  y funcionando, pero requiere mejoras frente a su diseño, ya que  opera de manera efectiva
</t>
  </si>
  <si>
    <t>Deficiencia de Control
(Diseño o Ejecución)</t>
  </si>
  <si>
    <t>Cuando en el análisis de los requerimientos en los diferentes componentes del MECI se cuente con aspectos evaluados en nivel 2 (presente) y 2 (funcionando); 3 (presente) y 1 (funcionando); 3 (presente) y 2 (funcionando); 2 (presente) y 1 (funcionando)</t>
  </si>
  <si>
    <t>Se encuentra presente y funcionando, pero requiere acciones dirigidas a fortalecer  o mejorar su diseño y/o ejecucion.</t>
  </si>
  <si>
    <t>Deficiencia de Control Mayor
(Diseño y Ejecución)</t>
  </si>
  <si>
    <t>Cuando en el análisis de los requerimientos en los diferentes componentes del MECI se cuente con aspectos evaluados en nivel 1 (presente) y 1 (funcionando);1 (presente) y 2 (funcionando); 1(presente) y 3 (funcionando).</t>
  </si>
  <si>
    <t>No se encuentra presente  por lo tanto no esta funcionando, lo que hace que se requieran acciones dirigidas a fortalecer su diseño y puesta en marcha</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</si>
  <si>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definiendo puntos de mejora a través de los componentes del MECI y su relación con las Dimensiones del MIPG.</t>
    </r>
  </si>
  <si>
    <r>
      <t xml:space="preserve"> -</t>
    </r>
    <r>
      <rPr>
        <sz val="11"/>
        <rFont val="Arial Narrow"/>
        <family val="2"/>
      </rPr>
      <t xml:space="preserve"> </t>
    </r>
    <r>
      <rPr>
        <b/>
        <sz val="11"/>
        <rFont val="Arial Narrow"/>
        <family val="2"/>
      </rPr>
      <t>Definiciones:</t>
    </r>
    <r>
      <rPr>
        <sz val="11"/>
        <rFont val="Arial Narrow"/>
        <family val="2"/>
      </rPr>
      <t xml:space="preserve"> A</t>
    </r>
    <r>
      <rPr>
        <sz val="10"/>
        <rFont val="Arial Narrow"/>
        <family val="2"/>
      </rPr>
      <t>lgunos términos asociados a con control interno y utilizados en diferentes partes del formato.</t>
    </r>
  </si>
  <si>
    <t>Términos y Definiciones</t>
  </si>
  <si>
    <t>Término</t>
  </si>
  <si>
    <t>Actividad de control</t>
  </si>
  <si>
    <t>Acciones establecidas en los procesos, políticas, procedimientos u otras herramientas que permiten que se lleven a cabo las instrucciones de la Administración para mitigar los riesgos relacionados con el logro de los objetivos. Las Actividades de Control son un Componente del Control Interno.</t>
  </si>
  <si>
    <t>Alta Dirección</t>
  </si>
  <si>
    <t>Comprende los empleos del Nivel Directivo a los cuales corresponden funciones de dirección general, de formulación de políticas institucionales y de adopción de planes, programas y proyectos. (Decreto 770 de 2005)</t>
  </si>
  <si>
    <t>Ambiente de control</t>
  </si>
  <si>
    <t>El ambiente de control establece el tono de una organización. Es la base de los otros componentes del control interno pues define los valores y principios con los cuales se rige la entidad e influye en la conciencia de los servidores sobre la forma en que se deben llevar a cabo las operaciones.</t>
  </si>
  <si>
    <t>Comité Institucional de Coordinación de Control Interno</t>
  </si>
  <si>
    <t>Instancia del más alto nivel jerárquico, creado como órgano asesor e instancia decisora en los asuntos de control interno, de oblgatoria conformación para todas las entidades estatales. (Ley 87 de 1993, art 13 y Decreto 648 de 2017).</t>
  </si>
  <si>
    <t>Comité Institucional de Gestión y Desempeño</t>
  </si>
  <si>
    <t>Instancia del más alto nivel jerárquico, encargado de orientar la implementación y operación del Modelo Integrado de Planeación y Gestión MIPG, de oblgatoria conformación para todas las entidades estatales. (Decreto 1499 de 2017).</t>
  </si>
  <si>
    <t>Componente</t>
  </si>
  <si>
    <t>Uno de los cinco elementos del Modelo Estándar de Control Interno MECI.</t>
  </si>
  <si>
    <t>Conflicto de interés</t>
  </si>
  <si>
    <t>Situación en la cual un auditor interno, que ocupa un puesto de confianza, tiene interés personal o profesional en competencia con otros intereses. Tales intereses pueden hacerle difícil el cumplimiento imparcial de sus tareas. (Tomado de las Normas Internacionales de Auditoría Interna Norma 1120)
En el sector público el conflicto de interés existe cuando el interés personal de quien ejerce una función pública colisiona con los deberes y obligaciones del cargo que desempeña. (Guía Conflictos de Interés de Servidores Públicos. Función Pública. 2018).</t>
  </si>
  <si>
    <t>Control Interno</t>
  </si>
  <si>
    <t>Estructura de procesos, políticas, procedimientos, manuales y otras herramientas diseñadas por la entidad para proporcionar seguridad razonable de que los objetivos y metas se alcanzarán y que los eventos no deseados se evitaran o bien se detectaran y corregirán.</t>
  </si>
  <si>
    <t>Control interno efectivo</t>
  </si>
  <si>
    <t>El Sistema de Control Interno para que sea efectivo requiere que cada uno de los cinco componentes del MECI y sus lineamientos, estén presentes, funcionando y operando de manera articulada con el MIPG.</t>
  </si>
  <si>
    <t>Controles generales de TI</t>
  </si>
  <si>
    <t>Actividades de control que ayudan a asegurar la apropiada operación de la tecnología, incluyen los controles sobre la infraestructura de tecnología, seguridad de la información, adquisición de tecnología  su desarrollo y mantenimiento.</t>
  </si>
  <si>
    <t>Corrupción</t>
  </si>
  <si>
    <t>Posibilidad de que por acción u omisión, se use el poder para desviar la gestión de lo público hacia un beneficio privado.  (Secretaría de Transparencia)</t>
  </si>
  <si>
    <t>COSO</t>
  </si>
  <si>
    <t>Committe of Sponsoring Organizations of the Treadway Commission (por sus siglas en inglés). COSO es una iniciativa conjunta de cinco organizaciones del sector privado y se dedica a liderar el desarrollo de marcos y guías en control interno y gestión de riesgos.</t>
  </si>
  <si>
    <t>Cumplimiento</t>
  </si>
  <si>
    <t>Esta relacionado con el cumplimiento a las leyes y regulaciones aplicables a la Entidad.</t>
  </si>
  <si>
    <t>Deficiencia de control</t>
  </si>
  <si>
    <t xml:space="preserve">Es una falla con respecto a un control particular o actividad de control. </t>
  </si>
  <si>
    <t>Deficiencia del Sistema de control interno</t>
  </si>
  <si>
    <t>Se asocia a fallas o brechas en un componente o componentes y sus lineamientos que tiene la capacidad para generar riesgos.</t>
  </si>
  <si>
    <t>Evaluación de Riesgos</t>
  </si>
  <si>
    <t>Proceso que permite a cada entidad identificar, analizar y administrar riesgos relevantes para el logro de sus objetivos.</t>
  </si>
  <si>
    <t>Evaluaciones continuas</t>
  </si>
  <si>
    <t>Corresponden a actividades (manuales o automáticas) que sirven para monitorear la efectividad del control interno en el día a día de las operaciones. Estas evaluaciones incluyen actos regulares de administración, comparaciones, conciliaciones y otras acciones rutinarias.</t>
  </si>
  <si>
    <t>Evaluaciones separadas</t>
  </si>
  <si>
    <t>Incluye autoevaluaciones, en las que las personas responsables por una unidad o función particular (2a línea de defensa) determinan la efectividad de los controles para sus actividades clave para el logro de los objetivos institucionales.
Así mismo, se incluyen las evaluaciones realizadas por las Auditorías (interna y externa).</t>
  </si>
  <si>
    <t>Funcionando</t>
  </si>
  <si>
    <t>La determinación que los componentes y lineamientos son aplicados de forma sistemática como han sido diseñados y es posible analizar su efectividad para evitar la materialización de riesgos, mediante el contraste de información relevante.</t>
  </si>
  <si>
    <t>Integridad</t>
  </si>
  <si>
    <t>El economista estadounidense Anthony Downs “la integridad consiste en la coherencia entre las declaraciones y las realizaciones[1]”, entendiéndose esta como una característica personal, que en el sector público también se refiere al cumplimiento de la promesa que cada servidor le hace al Estado y a la ciudadanía de ejercer a cabalidad su labor. (Tomado micrositio MIPG, Dimensión Talento Humano).</t>
  </si>
  <si>
    <t>Lineamiento</t>
  </si>
  <si>
    <t>Especificaciones fundamentales asociadas a cada uno de los componentes del MECI que permitirán establecer la efectividad del Sistema de Control Interno.</t>
  </si>
  <si>
    <t xml:space="preserve">Mantenimieto del Control </t>
  </si>
  <si>
    <t xml:space="preserve">Verificar periodicamente el control y ante cambios en el entorno externo o interno realizar los ajustes correspondientes o incluir un nuevo control </t>
  </si>
  <si>
    <t>Mapa de riesgos</t>
  </si>
  <si>
    <t>Herramiento cualitativa que permite identificar los riesgos de la organización en el cual se presenta una descripción de cada uno de ellos y su tratamiento.</t>
  </si>
  <si>
    <t>Hallazgo en el cual sí existe un cumplimiento, pero a pesar de ello se determina, bajo criterios objetivos, que existe un margen de mejora para optimizar más una actividad, tarea o proceso concreto.</t>
  </si>
  <si>
    <t>Política</t>
  </si>
  <si>
    <t>Declaración emitida por la administración acerca de lo que debe hacerse para el control. Las políticas son la base para la definición de procedimientos.</t>
  </si>
  <si>
    <t>Presente</t>
  </si>
  <si>
    <t>La determinación que existen en diseño e implementación de los requerimientos asociados a las políticas de gestión y desempeño.</t>
  </si>
  <si>
    <t>Procedimiento</t>
  </si>
  <si>
    <t>Actividades desagregadas que implementan una política o determinan acciones concretas para la consecución de un objetivo o meta.</t>
  </si>
  <si>
    <t>Reporte</t>
  </si>
  <si>
    <t>Información suministrada por diferentes instancias de la entidad, que incluye datos internos y externos, así como información financiera y no financiera, necesaria para la toma de decisiones.</t>
  </si>
  <si>
    <t>Riesgo</t>
  </si>
  <si>
    <t>La posibilidad de que un evento ocurra y afecte de manera adversa el logro de los objetivos.</t>
  </si>
  <si>
    <t>Riesgo inherente</t>
  </si>
  <si>
    <t xml:space="preserve">El riesgo frente al logro de los objetivos en ausencia de cualquier acción por parte de la administración para afectar el impacto o probabilidad de dicho riesgo. </t>
  </si>
  <si>
    <t>Riesgo residual</t>
  </si>
  <si>
    <t>El riesgo frente al logro de los objetivos que permanece una vez la respuesta al riesgo ha sido diseñada e implementada por parte de la administración.</t>
  </si>
  <si>
    <t>Segregación de Funciones</t>
  </si>
  <si>
    <t>Se refiere a la asignación de las responsabilidades con diferentes niveles de autorización con el fin de reducir errores o posibles situaciones de corrupción durante el normal desarrollo de sus funciones.</t>
  </si>
  <si>
    <t>Seguridad razonable</t>
  </si>
  <si>
    <t>Determina que no importa que tan bien esté diseñado e implementado el control interno, no se puede garantizar que los objetivos de la entidad se van a cumplir. Esto por las limitaciones inherentes de todo Sistemas de Control Interno.</t>
  </si>
  <si>
    <t xml:space="preserve">Evaluación Independiente </t>
  </si>
  <si>
    <t xml:space="preserve">Se entiende como las prácticas de examen al control interno y ejercicio de auditoría llevadas a cabo por la oficina de control interno o quien haga sus veces, teniendo en cuenta las normas de auditoria generalmente aceptadas. </t>
  </si>
  <si>
    <t>Lineas de Defensa</t>
  </si>
  <si>
    <t>Esquema de asignación de responsabilidades, adaptada del Modelo de las 3 Líneas de Defensa” del Instituto de Auditores, el cual proporciona una manera simple y efectiva para mejorar las comunicaciones en la gestión de riesgos y control mediante la aclaración de las funciones y deberes esenciales relacionados, que permiten contar con diferentes niveles para el control.</t>
  </si>
  <si>
    <t>AMBIENTE DE CONTROL</t>
  </si>
  <si>
    <t>La entidad debe asegurar un ambiente de control que le permita disponer de las condiciones mínimas para el ejercicio del control interno. Esto se logra con el compromiso, liderazgo y los lineamientos de la alta dirección y del Comité Institucional de Coordinación de Control Interno. El Ambiente de Control es el fundamento de todos los demás componentes del control interno, se incluyen la integridad y valores éticos, la competencia (capacidad) de los servidores de la entidad; la manera en que la Alta Dirección asigna autoridad y responsabilidad, así como también el direccionamiento estratégico definido.</t>
  </si>
  <si>
    <t>ID</t>
  </si>
  <si>
    <r>
      <rPr>
        <b/>
        <u/>
        <sz val="11"/>
        <rFont val="Arial Narrow"/>
        <family val="2"/>
      </rPr>
      <t>Lineamiento 1:</t>
    </r>
    <r>
      <rPr>
        <sz val="11"/>
        <rFont val="Arial Narrow"/>
        <family val="2"/>
      </rPr>
      <t xml:space="preserve"> 
La entidad demuestra el compromiso con la integridad (valores) y principios del servicio público</t>
    </r>
  </si>
  <si>
    <r>
      <t xml:space="preserve">Explicación de cómo la Entidad </t>
    </r>
    <r>
      <rPr>
        <b/>
        <u/>
        <sz val="11"/>
        <rFont val="Arial Narrow"/>
        <family val="2"/>
      </rPr>
      <t>evidencia</t>
    </r>
    <r>
      <rPr>
        <b/>
        <sz val="11"/>
        <rFont val="Arial Narrow"/>
        <family val="2"/>
      </rPr>
      <t xml:space="preserve"> que está dando respuesta al requerimiento
</t>
    </r>
    <r>
      <rPr>
        <sz val="11"/>
        <rFont val="Arial Narrow"/>
        <family val="2"/>
      </rPr>
      <t>Referencia a Procesos, Manuales/Políticas de Operación/Procedimientos/Instructivos u otros desarrollos que den cuente de su aplicación</t>
    </r>
  </si>
  <si>
    <r>
      <t xml:space="preserve">Presente 
</t>
    </r>
    <r>
      <rPr>
        <i/>
        <sz val="11"/>
        <rFont val="Arial Narrow"/>
        <family val="2"/>
      </rPr>
      <t>(1/2/3)</t>
    </r>
  </si>
  <si>
    <t xml:space="preserve">EVIDENCIA DEL CONTROL </t>
  </si>
  <si>
    <r>
      <t xml:space="preserve">Funcionando 
</t>
    </r>
    <r>
      <rPr>
        <i/>
        <sz val="11"/>
        <rFont val="Arial Narrow"/>
        <family val="2"/>
      </rPr>
      <t>(1/2/3)</t>
    </r>
  </si>
  <si>
    <t xml:space="preserve">Evaluación </t>
  </si>
  <si>
    <t xml:space="preserve">Observaciones de la evaluación independiente (tener encuentra papel de  líneas de defensa) </t>
  </si>
  <si>
    <t>EJEMPLO</t>
  </si>
  <si>
    <t xml:space="preserve"> Aplicación del Código de Integridad. (incluye análisis de desviaciones, convivencia laboral, temas disciplinarios internos, quejas o denuncias sobres los servidores de la entidad, u otros temas relacionados).</t>
  </si>
  <si>
    <t>Dimensión Talento Humano
Política Integridad</t>
  </si>
  <si>
    <t>Se implementó el Código de Integridad acorde con el esquema definido de 5 valores y sus lineamientos de conducta y se desarrollaron ejercicios internos con talleres para la socialización e interiorización a todos los servidores y contratistas de la entidad.</t>
  </si>
  <si>
    <t xml:space="preserve">Seguimiento al cumplimiento de la elaboración y socialización del Código de Integridad, con base en el informe presentando por la segunda línea de defensa (cuando aplique). </t>
  </si>
  <si>
    <t xml:space="preserve"> Se llevo a cabo un seguimiento a lo dispuesto en el marco del Comité Institucional de Coordinación de Control Interno, donde se determino la necesidad de estructurar el código de integridad siguiendo la metodología de Función Pública, para ello se delego como responsable del mismo al Secretario General.
Se encontró que se realizaron ejercicios lúdicos y participativos para la construcción de los 5 valores institucionales, cada mes se  hacen campañas de interiorización de los mismo al personal de la entidad, teniendo como evidencia el compromiso de los funcionarios con el horario laboral, una reducción del ausentismo así como un bajo porcentaje de quejas por parte de los ciudadanos.
Por otra parte, se realiza seguimiento mensual por parte del Secretario General al cumplimiento de las actividades propuestas en el cronograma.</t>
  </si>
  <si>
    <t>En el marco del Comité Institucional de Control Interno bimensualmente se contrastan quejas internas y externas sobre situaciones irregulares.</t>
  </si>
  <si>
    <t>Se han analizado los temas más críticos acerca en relación con el ausentismo, acoso laboral, solicitudes de traslado y rotación del personal.</t>
  </si>
  <si>
    <t>1.1 Aplicación del Código de Integridad. (incluye análisis de desviaciones, convivencia laboral, temas disciplinarios internos, quejas o denuncias sobres los servidores de la entidad, u otros temas relacionados).</t>
  </si>
  <si>
    <t xml:space="preserve">Divulgación del Código de Integridad UIS por parte de la División de Gestión de Talento Humano </t>
  </si>
  <si>
    <t>Evaluar la aplicación y conocimiento del Codigo de Integridad por parte de la División de Gestión de Talento Humanoi</t>
  </si>
  <si>
    <t xml:space="preserve">1.2 Mecanismos para el manejo de conflictos de interés. </t>
  </si>
  <si>
    <t xml:space="preserve">Divulgación del Manual de Conflicto de Intereses por parte de la División de Gestión de Talento Humano </t>
  </si>
  <si>
    <t>1.3 Mecanismos frente a la detección y prevención del uso inadecuado de información privilegiada u otras situaciones que puedan implicar riesgos para la entidad.</t>
  </si>
  <si>
    <t>Dimensión Información y Comunicación
Política Transparencia y Acceso a la Información Pública
Política Gestión Documental</t>
  </si>
  <si>
    <t>Esquema de seguridad usuario-rol en Sistema de Información.</t>
  </si>
  <si>
    <t>Restricción de datos por dominio de información en Sistema de información.</t>
  </si>
  <si>
    <t>Contratos de desarrollo de software.</t>
  </si>
  <si>
    <t>Se cuenta con el Índice de Información Clasificada y Reservada y las Tablas de Control de Acceso</t>
  </si>
  <si>
    <t>Se cuenta con el Instructivo para la Consulta de Documentos de Archivo</t>
  </si>
  <si>
    <t xml:space="preserve">Socialización de los Instrumentos Archivísticos por parte de la Dirección de Certificaciones y Gestión Documental </t>
  </si>
  <si>
    <t xml:space="preserve">1.4 La evaluación de las acciones transversales de integridad, mediante el monitoreo permanente de los riesgos de corrupción. </t>
  </si>
  <si>
    <t>Dimensión Talento Humano
Política de Integridad</t>
  </si>
  <si>
    <t xml:space="preserve">La Universidad tiene implementado el mapa de riesgos de corrupción el cual aplica a todos los procesos, y contempla todos aquellos aspectos que puedan conllevar a posibles casos de corrupción. 
Cuatrimestralmente se realiza seguimiento a los riesgos de corrupción y se publica en la página web de la institución. </t>
  </si>
  <si>
    <t xml:space="preserve">Seguimiento al Mapa de Riesgos de Corrupción </t>
  </si>
  <si>
    <t xml:space="preserve">1.5 Análisis sobre viabilidad para el establecimiento de una línea de denuncia interna sobre situaciones irregulares o posibles incumplimientos al código de integridad.
NOTA: Si la entidad ya cuenta con esta línea en funcionamiento, establezca si ha aportado para la mejora de los mapas de riesgos o bien en otros ámbitos organizacionales.
</t>
  </si>
  <si>
    <t>Dimensión Direccionamiento Estratégico y Planeación
Plan Anticorrupción y de Atención al Ciudadano</t>
  </si>
  <si>
    <r>
      <rPr>
        <b/>
        <u/>
        <sz val="11"/>
        <color theme="0"/>
        <rFont val="Arial Narrow"/>
        <family val="2"/>
      </rPr>
      <t>Lineamiento 2:</t>
    </r>
    <r>
      <rPr>
        <sz val="11"/>
        <color theme="0"/>
        <rFont val="Arial Narrow"/>
        <family val="2"/>
      </rPr>
      <t xml:space="preserve"> 
Aplicación de mecanismos para ejercer una adecuada supervisión del Sistema de Control Interno </t>
    </r>
  </si>
  <si>
    <r>
      <t xml:space="preserve">Explicación de cómo la Entidad </t>
    </r>
    <r>
      <rPr>
        <b/>
        <u/>
        <sz val="11"/>
        <color theme="0"/>
        <rFont val="Arial Narrow"/>
        <family val="2"/>
      </rPr>
      <t>evidencia</t>
    </r>
    <r>
      <rPr>
        <b/>
        <sz val="11"/>
        <color theme="0"/>
        <rFont val="Arial Narrow"/>
        <family val="2"/>
      </rPr>
      <t xml:space="preserve"> 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</si>
  <si>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</si>
  <si>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r>
      <t xml:space="preserve">Funcionando 
</t>
    </r>
    <r>
      <rPr>
        <i/>
        <sz val="11"/>
        <color theme="0"/>
        <rFont val="Arial Narrow"/>
        <family val="2"/>
      </rPr>
      <t>(1/2/3)</t>
    </r>
  </si>
  <si>
    <t>Evaluación</t>
  </si>
  <si>
    <t xml:space="preserve">Referencia a Análisis y verificaciones </t>
  </si>
  <si>
    <t>Referencia de la evaluación independiente por parte de la Oficina de Control Interno o quien haga sus veces</t>
  </si>
  <si>
    <t>2.1 Creación o actualización del Comité Institucional de Coordinación de Control Interno (incluye ajustes en periodicidad para reunión, articulación con el Comité Institucional de Gestión y Desempeño).</t>
  </si>
  <si>
    <t>Dimensión Control Interno
Política de Control Interno</t>
  </si>
  <si>
    <t xml:space="preserve">Ajustes a la normativa interna  en el año 2018 conforme al decreto 648 del 2017. </t>
  </si>
  <si>
    <t xml:space="preserve">Se realizó la definición de funciones y miembros del comité. </t>
  </si>
  <si>
    <t xml:space="preserve">Desarrollo de reuniones del comité mínimo 2 veces al año. </t>
  </si>
  <si>
    <t>2.2 Definición y documentación del Esquema de Líneas de Defensa</t>
  </si>
  <si>
    <t>Dimensión Control Interno
Política de Control Interno
Líneas de defensa</t>
  </si>
  <si>
    <t xml:space="preserve">El en el marco del sistema de gestión de calidad se encuentra implementada la Matriz de Roles, Responsabilidades y Autoridades, la cual incluye la estructura y responsabilidades de las líneas de defensa. </t>
  </si>
  <si>
    <t>Revisar y mantener actualizada la matriz de roles, responsabilidades y autoridades.</t>
  </si>
  <si>
    <t>2.3 Definición de líneas de reporte en temas clave para la toma de decisiones, atendiendo el Esquema de Líneas de Defensa</t>
  </si>
  <si>
    <t>Dimensión Control Interno
Política de Control Interno
Línea de Defensa
Dimensión de Información y Comunicación</t>
  </si>
  <si>
    <t xml:space="preserve">Reuniones según periodicidad establecida de los diferentes estamentos de la universidad </t>
  </si>
  <si>
    <t xml:space="preserve">Difusión de normativa o decisiones institucionales por medio de los canales oficiales de la Universidad. </t>
  </si>
  <si>
    <r>
      <rPr>
        <b/>
        <u/>
        <sz val="11"/>
        <color theme="0"/>
        <rFont val="Arial Narrow"/>
        <family val="2"/>
      </rPr>
      <t>Lineamiento 3:</t>
    </r>
    <r>
      <rPr>
        <sz val="11"/>
        <color theme="0"/>
        <rFont val="Arial Narrow"/>
        <family val="2"/>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</si>
  <si>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t>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definir ajustes, dificultades para su desarrollo.</t>
  </si>
  <si>
    <t>Dimensión de Direccionamiento Estratégico y Planeación
Política de Planeación Institucional 
Dimensión Control Interno</t>
  </si>
  <si>
    <t xml:space="preserve">Se cuenta con el Manual para la Administración del Riesgo acorde con lineamientos de la Guía para la Administración del Riesgo de Gestión y Corrupción y Diseño de Controles en Entidades Públicas y los lineamientos de la ISO 9001:2015, además se desarrollaron actividades de formación a lideres y facilitadores de los procesos. </t>
  </si>
  <si>
    <t>Revisión de la política y metodología conforme a la Guía para la Administración del Riesgo de Gestión y Corrupción y Diseño de Controles en Entidades Públicas (DAFP), ISO 31000  y los lineamientos de la ISO 9001:2015</t>
  </si>
  <si>
    <t>Referenciación con otras entidades respecto al manejo de la gestión de riesgos.</t>
  </si>
  <si>
    <t>Revisión de roles y responsabilidades frente a la administración del Riesgo de Gestión, Corrupción y Seguridad Digital.</t>
  </si>
  <si>
    <t>Gestionar entrenamiento para facilitadores en cuanto a la actualización de la Mapa de Riesgos.</t>
  </si>
  <si>
    <t>Actualización del Manual para la Administración del Riesgo</t>
  </si>
  <si>
    <t xml:space="preserve">3.2 La Alta Dirección frente a la política de Administración del Riesgo definen los niveles de aceptación del riesgo, teniendo en cuenta cada uno de los objetivos establecidos. </t>
  </si>
  <si>
    <t>Dimensión Control Interno
Política de Control Interno
Línea Estratégica</t>
  </si>
  <si>
    <t xml:space="preserve">Actualización del formato Mapa de Riesgos, contemplando en la valoración los niveles de aceptación del riesgo. </t>
  </si>
  <si>
    <t>3.3 Evaluación de la planeación estratégica, considerando alertas frente a posibles incumplimientos, necesidades de recursos, cambios en el entorno que puedan afectar su desarrollo, entre otros aspectos que garanticen de forma razonable su cumplimiento.</t>
  </si>
  <si>
    <t>Dimensión Evaluación de Resultados 
Política de Seguimiento y Evaluación al Desempeño Institucional
Dimensión Control Interno
Líneas de defensa</t>
  </si>
  <si>
    <t xml:space="preserve">Seguimiento a los indicadores del Plan de Desarrollo Institucional y socialización de los resultados ante el Consejo Superior. 
Identificación de prioridades para la formulación de proyectos de gestión de la siguiente vigencia. 
Seguimiento a los proyectos del programa de gestión de cada vigencia   
Lineamientos presupuestales como guía para la programación presupuestal de la siguiente vigencia. 
 Actualización de la DOFA institucional. </t>
  </si>
  <si>
    <t xml:space="preserve">Recolección de la información para la medición de indicadores. </t>
  </si>
  <si>
    <t xml:space="preserve">Presentación de resultados ante el Consejo Superior. </t>
  </si>
  <si>
    <t>Análisis plan de mejoramiento Acreditación Institucional, PI, PDI, MIPG, Plan Rectoral y elaboración de propuesta de prioridades</t>
  </si>
  <si>
    <t>Elaboración y presentación de lineamientos presupuestales ante el Consejo Superior</t>
  </si>
  <si>
    <t>Difusión del proceso de programación anual al Consejo Académico</t>
  </si>
  <si>
    <t>Elaboración de programa de gestión en consonancia con las prioridades identificadas y los lineamientos establecidos</t>
  </si>
  <si>
    <t>Aprobación del Programa de Gestión Institucional por parte del Consejo Superior</t>
  </si>
  <si>
    <t>Seguimiento a los proyectos del programa de gestión por parte de la Dirección de Control Interno y Evaluación de Gestión</t>
  </si>
  <si>
    <r>
      <rPr>
        <b/>
        <u/>
        <sz val="11"/>
        <color theme="0"/>
        <rFont val="Arial Narrow"/>
        <family val="2"/>
      </rPr>
      <t>Lineamiento 4:</t>
    </r>
    <r>
      <rPr>
        <sz val="11"/>
        <color theme="0"/>
        <rFont val="Arial Narrow"/>
        <family val="2"/>
      </rPr>
      <t xml:space="preserve"> 
Compromiso con la competencia de todo el personal, por lo que la gestión del talento humano tiene un carácter estratégico con el despliegue de actividades clave para todo el ciclo de vida del servidor público –ingreso, permanencia y retiro.</t>
    </r>
  </si>
  <si>
    <t>4.1 Evaluación de la Planeación Estratégica del Talento Humano.</t>
  </si>
  <si>
    <t>Dimensión de Talento Humano
Política Gestión Estratégica del Talento Humano
Dimensión de Control Interno
Líneas de Defensa</t>
  </si>
  <si>
    <t xml:space="preserve">Con el apoyo del grupo de investigación Semiosis de septiembre a diciembre de 2019, a través de talleres y encuentros con los usuarios de la DGTH, se construyó el documento base de propuesta de planeación estratégica. </t>
  </si>
  <si>
    <t xml:space="preserve">Durante el primer semestre de 2020, a través del comité de líderes de la DGTH que sesiona los jueves de cada semana, se trabajó en la revisión del documento base, para obtener la versión definitiva del mismo. </t>
  </si>
  <si>
    <t xml:space="preserve">En el primer semestre de 2021 la DGTH construyo el Plan Estratégico de Talento Humano 2021 - 2024 el cual contiene los lineamientos de MIPG. El documento fue publicado en la página web institucional. </t>
  </si>
  <si>
    <t>4.2 Evaluación de las actividades relacionadas con el Ingreso del personal.</t>
  </si>
  <si>
    <t xml:space="preserve">En el primer semestre de 2021 la DGTH construyo el Plan Estratégico de Talento Humano 2021 - 2024 el cual contiene los lineamientos de MIPG. Este documento adicionalmente contempla en el numeral 7 algunos planeas tácticos como es el caso del Plan de Vacantes </t>
  </si>
  <si>
    <t>4.3 Evaluación de las actividades relacionadas con la permanencia del personal.</t>
  </si>
  <si>
    <t xml:space="preserve">La Universidad adelanta semestralmente el proceso de evaluación de desempeño docente y de personal administrativo. </t>
  </si>
  <si>
    <t>4.4Analizar si se cuenta con políticas claras y comunicadas relacionadas con la responsabilidad de cada servidor sobre el desarrollo y mantenimiento del control interno (1a línea de defensa)</t>
  </si>
  <si>
    <t>4.5 Evaluación de las actividades relacionadas con el retiro del personal.</t>
  </si>
  <si>
    <t xml:space="preserve">Desde la DGTH se adelantan acciones para el acompañamiento de los funcionarios que cumplen con los requisitos de pensión desde el subproceso de Asuntos Pensionales y Desarrollo Humano Organizacional con la actividad denominada: "Pre-pensionados" </t>
  </si>
  <si>
    <t xml:space="preserve">El subproceso de Asuntos Pensionales coordina la realización de jornadas de formación para los funcionarios próximos a pensionarse y realiza asesorías personalizadas. </t>
  </si>
  <si>
    <t>4.6 Evaluar el impacto del Plan Institucional de Capacitación - PIC</t>
  </si>
  <si>
    <t>4.7 Evaluación frente a los productos y servicios en los cuales participan los contratistas de apoyo.</t>
  </si>
  <si>
    <t>Las unidades realizan el seguimiento de los   productos entregados por parte del contratista a través del Formato de informe de supervisión único pago  o el Acta de pagos parciales e informe de supervisión, donde va adjunto el informe de actividades o productos realizados</t>
  </si>
  <si>
    <t>La División de Contratación semestralmente realiza el procedimiento de Control Selectivo a los contratos</t>
  </si>
  <si>
    <r>
      <rPr>
        <b/>
        <u/>
        <sz val="11"/>
        <color theme="0"/>
        <rFont val="Arial Narrow"/>
        <family val="2"/>
      </rPr>
      <t>Lineamiento 5:</t>
    </r>
    <r>
      <rPr>
        <sz val="11"/>
        <color theme="0"/>
        <rFont val="Arial Narrow"/>
        <family val="2"/>
      </rPr>
      <t xml:space="preserve"> 
La entidad establece líneas de reporte dentro de la entidad para evaluar el funcionamiento del Sistema de Control Interno.</t>
    </r>
  </si>
  <si>
    <t>5.1 Acorde con la estructura del Esquema de Líneas de Defensa se han definido estándares de reporte, periodicidad y responsables frente a diferentes temas críticos de la entidad.</t>
  </si>
  <si>
    <t>Dimensión de Información y Comunicación
Dimensión de Control Interno
Líneas de Defensa</t>
  </si>
  <si>
    <t xml:space="preserve">Se cuenta con el Manual de Gestión Integrado el cual contempla en sus anexos con las siguientes matrices: (1) roles,  responsabilidades y autoridades del sistema de gestión integrado y (2) Matriz de interacción institucional. </t>
  </si>
  <si>
    <t xml:space="preserve">Se realizó la actualización de la matriz de roles, responsabilidades y autoridades incluyendo las Líneas de Defensa del Modelo Integrado de Planeación y Gestión aprobado por el Comité de Gestión y  Desempeño Institucional. </t>
  </si>
  <si>
    <t xml:space="preserve">Gestionar la socialización de las líneas de defensa ante líderes y facilitadores.  </t>
  </si>
  <si>
    <t xml:space="preserve">Matriz de Roles, Responsabilidades y Autoridades publicada aprobada y publicada en la intranet en el proceso de Dirección Institucional </t>
  </si>
  <si>
    <t>5.2 La Alta Dirección analiza la información asociada con la generación de reportes financieros.</t>
  </si>
  <si>
    <t>Dimensión de Control Interno
Línea de Estratégica</t>
  </si>
  <si>
    <t xml:space="preserve">La División Financiera presenta informes a la Dirección relacionados con la gestión de las actividades desempeñadas para su correspondiente revisión, aprobación y remisión apartes interesadas . </t>
  </si>
  <si>
    <t>Informe trimestral de inversiones para el Ministerio de Educación Nacional</t>
  </si>
  <si>
    <t>Informe de seguimiento a la ejecución presupuestal periódico que se remite a la Dirección de la Universidad</t>
  </si>
  <si>
    <t>Informe de seguimiento a las cuentas por pagar que se presenta a la Dirección de la Universidad</t>
  </si>
  <si>
    <t>Informe Pasivo Pensional para el Ministerio de Hacienda y Crédito Público.</t>
  </si>
  <si>
    <t>Informe trimestral inversiones UISALUD para Supersalud</t>
  </si>
  <si>
    <t>Estados Financiero y notas a los estados contables para la Dirección</t>
  </si>
  <si>
    <t>Informe de Desempeño del Proceso Financiero para Coordinación de Calidad</t>
  </si>
  <si>
    <t>Rendición de inventarios que se realiza anualmente</t>
  </si>
  <si>
    <t>5.3 Teniendo en cuenta la información suministrada por la 2a y 3a línea de defensa se toman decisiones a tiempo para garantizar el cumplimiento de las metas y objetivos.</t>
  </si>
  <si>
    <t>Dimensión de Control Interno
Líneas de Defensa</t>
  </si>
  <si>
    <t xml:space="preserve">Seguimiento del Plan de Desarrollo y socialización de resultados de la medición de indicadores ante el Consejo Superior para la toma de decisiones. 
Seguimiento y socialización del avance del programa anual de auditorías de la vigencia para la toma de decisiones. </t>
  </si>
  <si>
    <t xml:space="preserve">Presentación de resultados ante el Consejo Superior y Consejo Académico </t>
  </si>
  <si>
    <t xml:space="preserve">Socialización del avance del programa anual de auditorías ante el Comité de Coordinación de Control Interno. </t>
  </si>
  <si>
    <t xml:space="preserve">Socialización avance de acciones relacionadas con el MIPG al Comité Institucional de Gestión y Desempeño </t>
  </si>
  <si>
    <t>5.4 Se evalúa la estructura de control a partir de los cambios en procesos, procedimientos, u otras herramientas, a fin de garantizar su adecuada formulación y afectación frente a la gestión del riesgo.</t>
  </si>
  <si>
    <t>Dimensión de Gestión con Valores para Resultado
Política de Fortalecimiento Organizacional y Simplificación de Procesos
Dimensión Control Interno
Líneas de Defensa</t>
  </si>
  <si>
    <t xml:space="preserve">Reporte de la gestión del cambio y las actividades propuestas como parte del informe de desempeño trimestral. </t>
  </si>
  <si>
    <t>5.5 La entidad aprueba y hace seguimiento al Plan Anual de Auditoría presentado y ejecutado por parte de la Oficina de Control Interno.</t>
  </si>
  <si>
    <t>Dimensión Control Interno
Línea Estratégica</t>
  </si>
  <si>
    <t xml:space="preserve">Anualmente la Dirección de Control Interno y Evaluación de Gestión presenta para su aprobación al Comité Institucional de Coordinación de Control Interno el programa anual de auditoría el cual contempla: Auditorías internas de gestión, auditorías internas de calidad, informes a entes de control externo, seguimientos, asesoría y acompañamiento. </t>
  </si>
  <si>
    <t xml:space="preserve">Acta de probación del programa anual de auditoría de la vigencia.  </t>
  </si>
  <si>
    <t xml:space="preserve">Seguimiento a las actividades establecidas en el programa. </t>
  </si>
  <si>
    <t xml:space="preserve">Toma de decisiones, respecto a las mejoras de acuerdo a las necesidades que surgen en el desarrollo del programa anual de auditorías, en las reuniones del Comité Institucional de Coordinación de Control Interno. </t>
  </si>
  <si>
    <t>5.6 La entidad analiza los informes presentados por la Oficina de Control Interno y evalúa su impacto en relación con la mejora institucional.</t>
  </si>
  <si>
    <t xml:space="preserve">Seguimiento a las actividades establecidas en el programa anual de auditorías </t>
  </si>
  <si>
    <t xml:space="preserve">Evaluación de la gestión de los docentes en cargos de dirección universitaria a través del sistema de evaluación de autoridades académicas. </t>
  </si>
  <si>
    <t xml:space="preserve">Seguimiento y validación de evidencias de los programas de gestión y de unidades. </t>
  </si>
  <si>
    <t>Presentación del Informe de evaluación de autoridades académicas en el Comité Interno de Asignación y Reconocimiento de Puntaje (CIARP).</t>
  </si>
  <si>
    <t xml:space="preserve">Seguimientos a reportes a entes de control </t>
  </si>
  <si>
    <t xml:space="preserve">Seguimiento por parte de la Coordinación de Calidad a las acciones derivadas de auditoría interna de calidad </t>
  </si>
  <si>
    <t>Seguimiento por parte de Auditores de la DCIEG a las acciones derivadas de auditoría interna de gestión.</t>
  </si>
  <si>
    <t>EVALUACIÓN DE RIESGOS</t>
  </si>
  <si>
    <t xml:space="preserve">Este componente hace referencia al ejercicio efectuado bajo el liderazgo del equipo directivo y de todos los servidores de la entidad, y permite identificar, evaluar y gestionar eventos potenciales, tanto internos como externos, que puedan afectar el logro de los objetivos institucionales.
La condición para la evaluación de riesgos es el establecimiento de objetivos, vinculados a varios niveles de la entidad, lo que implica que la Alta Dirección define objetivos y los agrupa en categorías en todos los niveles de la entidad, con el fin de evaluarlos </t>
  </si>
  <si>
    <r>
      <rPr>
        <b/>
        <u/>
        <sz val="11"/>
        <color theme="0"/>
        <rFont val="Arial Narrow"/>
        <family val="2"/>
      </rPr>
      <t xml:space="preserve">Lineamiento 6: 
</t>
    </r>
    <r>
      <rPr>
        <b/>
        <sz val="11"/>
        <color theme="0"/>
        <rFont val="Arial Narrow"/>
        <family val="2"/>
      </rPr>
      <t xml:space="preserve">Definición de objetivos con suficiente claridad para identificar y evaluar los riesgos relacionados: i)Estratégicos; ii)Operativos; iii)Legales y Presupuestales; iv)De Información Financiera y no Financiera.
</t>
    </r>
  </si>
  <si>
    <r>
      <t xml:space="preserve">Explicación de cómo la Entidad </t>
    </r>
    <r>
      <rPr>
        <b/>
        <u/>
        <sz val="11"/>
        <color theme="0"/>
        <rFont val="Arial Narrow"/>
        <family val="2"/>
      </rPr>
      <t xml:space="preserve">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</si>
  <si>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</si>
  <si>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r>
      <t xml:space="preserve">Funcionando
</t>
    </r>
    <r>
      <rPr>
        <i/>
        <sz val="11"/>
        <color theme="0"/>
        <rFont val="Arial Narrow"/>
        <family val="2"/>
      </rPr>
      <t>(1/2/3)</t>
    </r>
  </si>
  <si>
    <t xml:space="preserve">Observaciones de la evaluación independiente (tener en cuenta papel de  líneas de defensa) </t>
  </si>
  <si>
    <t>6.1  La Entidad cuenta con mecanismos para vincular o relacionar el plan estratégico con los objetivos estratégicos y estos a su vez con los objetivos operativos.</t>
  </si>
  <si>
    <t>Dimensión de Direccionamiento Estratégico y Planeación.
Política de Planeación Institucional</t>
  </si>
  <si>
    <t xml:space="preserve">Validación de los elementos estratégicos y del sistema de gestión de calidad </t>
  </si>
  <si>
    <t xml:space="preserve">Revisión del proyecto institucional y del plan de desarrollo institucional para dar soporte a la alineación de objetivos estratégicos y operativos. </t>
  </si>
  <si>
    <t xml:space="preserve">Validación de la relación directa de los  objetivos operativos con los objetivos estratégicos,  por parte de los lideres de proceso. </t>
  </si>
  <si>
    <t>6.2 Los objetivos de los procesos, programas o proyectos (según aplique) que están definidos, son específicos, medibles, alcanzables, relevantes, delimitados en el tiempo.</t>
  </si>
  <si>
    <t>Dimensión de Gestión con Valores para Resultado
Política de Fortalecimiento Organizacional y Simplificación de Procesos</t>
  </si>
  <si>
    <t xml:space="preserve">Anualmente se recopila y procesa información que reportan las unidades para verificar el avance de los indicadores asociados a los objetivos estratégicos.  </t>
  </si>
  <si>
    <t xml:space="preserve">Trimestralmente se hace seguimiento al avance de los  indicadores de proceso por parte de la Coordinación de Calidad. </t>
  </si>
  <si>
    <t>6.3 La Alta Dirección evalúa periódicamente los objetivos establecidos para asegurar que estos continúan siendo consistentes y apropiados para la Entidad.</t>
  </si>
  <si>
    <t>Dimensión de Direccionamiento Estratégico y Planeación.
Política de Planeación Institucional
Dimensión Control Interno
Línea Estratégica</t>
  </si>
  <si>
    <r>
      <rPr>
        <b/>
        <u/>
        <sz val="11"/>
        <color theme="0"/>
        <rFont val="Arial Narrow"/>
        <family val="2"/>
      </rPr>
      <t xml:space="preserve">Lineamiento 7: 
</t>
    </r>
    <r>
      <rPr>
        <b/>
        <sz val="11"/>
        <color theme="0"/>
        <rFont val="Arial Narrow"/>
        <family val="2"/>
      </rPr>
      <t xml:space="preserve">Identificación y análisis de riesgos (Analiza factores internos y externos; Implica a los niveles apropiados de la dirección; Determina cómo responder a los riesgos; Determina la importancia de los riesgos). 
</t>
    </r>
  </si>
  <si>
    <t>7.1 Teniendo en cuenta la estructura de la política de Administración del Riesgo, su alcance define lineamientos para toda la entidad, incluyendo regionales, áreas tercerizadas u otras instancias que afectan la prestación del servicio.</t>
  </si>
  <si>
    <t>Revisión de la política y metodología conforme a la versión 3 de la Guía para la Administración del Riesgo de Gestión y Corrupción y Diseño de Controles en Entidades Públicas (DAFP), ISO 31000  y los lineamientos de la ISO 9001:2015</t>
  </si>
  <si>
    <t xml:space="preserve">Los riesgos asociados a las sedes regionales se encuentran establecidos en los mapas de riesgos de cada proceso (en los casos que aplique). </t>
  </si>
  <si>
    <t>7.2 La Oficina de Planeación, Gerencia de Riesgos (donde existan), como 2a línea de defensa, consolidan información clave frente a la gestión del riesgo.</t>
  </si>
  <si>
    <t>Dimensión Control Interno 
Líneas de Defensa</t>
  </si>
  <si>
    <t>7.3 A partir de la información consolidada y reportada por la 2a línea de defensa (7.2), la Alta Dirección analiza sus resultados y en especial considera si se han presentado materializaciones de riesgo.</t>
  </si>
  <si>
    <t xml:space="preserve">En el Comité de Coordinación de Control Interno y en la revisión por la dirección se hace seguimiento a la gestión de riesgos. </t>
  </si>
  <si>
    <t>7.4 Cuando se detectan materializaciones de riesgo, se definen los cursos de acción en relación con la revisión y actualización del mapa de riesgos correspondiente.</t>
  </si>
  <si>
    <t>Dimensión de Direccionamiento Estratégico y Planeación.
Política de Planeación Institucional
Dimensión Control Interno 
Líneas de Defensa</t>
  </si>
  <si>
    <t xml:space="preserve">El manual de administración de riesgos define el tratamiento a seguir en caso de materialización de algún riesgo. </t>
  </si>
  <si>
    <t>7.5 Se llevan a cabo seguimientos a las acciones definidas para resolver materializaciones de riesgo detectadas.</t>
  </si>
  <si>
    <t>Dimensión de Evaluación de Resultados 
Política de Seguimiento y evaluación al Desempeño Institucional.
Dimensión Control Interno 
Líneas de Defensa</t>
  </si>
  <si>
    <r>
      <rPr>
        <b/>
        <u/>
        <sz val="11"/>
        <color theme="0"/>
        <rFont val="Arial Narrow"/>
        <family val="2"/>
      </rPr>
      <t xml:space="preserve">Lineamiento 8: 
</t>
    </r>
    <r>
      <rPr>
        <b/>
        <sz val="11"/>
        <color theme="0"/>
        <rFont val="Arial Narrow"/>
        <family val="2"/>
      </rPr>
      <t xml:space="preserve">Evaluación del riesgo de fraude o corrupción. 
Cumplimiento artículo 73 de la Ley 1474 de 2011, relacionado con la prevención de los riesgos de corrupción.
</t>
    </r>
  </si>
  <si>
    <t>8.1 La Alta Dirección acorde con el análisis del entorno interno y externo, define los procesos, programas o proyectos (según aplique), susceptibles de posibles actos de corrupción.</t>
  </si>
  <si>
    <t xml:space="preserve">Anualmente se revisa y se actualiza el mapa de riesgos de corrupción. </t>
  </si>
  <si>
    <t xml:space="preserve">Cuatrimestralmente se hace seguimiento a las acciones establecidas en el mapa de riesgos de corrupción. </t>
  </si>
  <si>
    <t>8.2 La Alta Dirección monitorea los riesgos de corrupción con la periodicidad establecida en la Política de Administración del Riesgo.</t>
  </si>
  <si>
    <t>Dimensión de Control Interno
Línea Estratégica</t>
  </si>
  <si>
    <t>8.3 Para el desarrollo de las actividades de control, la entidad considera la adecuada división de las funciones y que éstas se encuentren segregadas en diferentes personas para reducir el riesgo de acciones fraudulentas.</t>
  </si>
  <si>
    <t>Dimensión de Control Interno
Líneas de Defensa</t>
  </si>
  <si>
    <t xml:space="preserve">Actualización de los procedimientos por parte de los procesos con el fin de fortalecer las actividades desarrolladas y los controles, dando cumplimiento a la normativa. </t>
  </si>
  <si>
    <t xml:space="preserve">Actualización del Manual de Funciones cuando aplique. </t>
  </si>
  <si>
    <t>8.4 La Alta Dirección evalúa fallas en los controles (diseño y ejecución) para definir cursos de acción apropiados para su mejora.</t>
  </si>
  <si>
    <t xml:space="preserve">El manual de administración de riesgos define el tratamiento a seguir para el caso de fallas en los controles establecidos en los mapas.  </t>
  </si>
  <si>
    <t xml:space="preserve">Periódicamente se realiza seguimiento a los mapas de riesgos por proceso en donde los líderes reportan el cumplimiento o fallas de los controles  y las acciones pertinentes para fortalecerlos. </t>
  </si>
  <si>
    <r>
      <rPr>
        <b/>
        <u/>
        <sz val="11"/>
        <color theme="0"/>
        <rFont val="Arial Narrow"/>
        <family val="2"/>
      </rPr>
      <t xml:space="preserve">
Lineamiento 9:</t>
    </r>
    <r>
      <rPr>
        <b/>
        <sz val="11"/>
        <color theme="0"/>
        <rFont val="Arial Narrow"/>
        <family val="2"/>
      </rPr>
      <t xml:space="preserve"> </t>
    </r>
    <r>
      <rPr>
        <sz val="11"/>
        <color theme="0"/>
        <rFont val="Arial Narrow"/>
        <family val="2"/>
      </rPr>
      <t xml:space="preserve">Identificación y análisis de cambios significativos </t>
    </r>
  </si>
  <si>
    <t>9.1 Acorde con lo establecido en la política de Administración del Riesgo, se monitorean los factores internos y externos definidos para la entidad, a fin de establecer cambios en el entorno que determinen nuevos riesgos o ajustes a los existentes.</t>
  </si>
  <si>
    <t>Dimensión de Direccionamiento Estratégico 
Política de Planeación Institucional</t>
  </si>
  <si>
    <t>9.2 La Alta Dirección analiza los riesgos asociados a actividades tercerizadas, regionales u otras figuras externas que afecten la prestación del servicio a los usuarios, basados en los informes de la segunda y tercera línea de defensa.</t>
  </si>
  <si>
    <t>Cada ordenador de gasto realiza el análisis, valoración y mitigación del riesgo  asociado a las actividades contractuales</t>
  </si>
  <si>
    <t>9.3 La Alta Dirección monitorea los riesgos aceptados revisando que sus condiciones no hayan cambiado y definir su pertinencia para sostenerlos o ajustarlos.</t>
  </si>
  <si>
    <t xml:space="preserve">El manual de administración de riesgos define la los niveles de aceptación del riesgo y el posible tratamiento a ejecutar.  </t>
  </si>
  <si>
    <t xml:space="preserve">Periódicamente se realiza seguimiento a los mapas de riesgos en donde los líderes revisan sus niveles de aceptación acorde con la capacidad del proceso y las condiciones cambiantes del entorno.  </t>
  </si>
  <si>
    <t>9.4 La Alta Dirección evalúa fallas en los controles (diseño y ejecución) para definir cursos de acción apropiados para su mejora, basados en los informes de la segunda y tercera línea de defensa.</t>
  </si>
  <si>
    <t xml:space="preserve">Periódicamente se reporta el seguimiento de la gestión de riesgos ante el Comité de Coordinación de Control Interno </t>
  </si>
  <si>
    <t xml:space="preserve">9.5 La entidad analiza el impacto sobre el control interno por cambios en los diferentes niveles organizacionales. </t>
  </si>
  <si>
    <t>Dimensión de Direccionamiento Estratégico y Planeación
Política de Planeación Institucional
Dimensión de Control Interno
Línea Estratégica</t>
  </si>
  <si>
    <t xml:space="preserve">Trimestralmente la Coordinación de Calidad hace seguimiento al informe de desempeño en el cual se reportan los cambios identificados por cada proceso. </t>
  </si>
  <si>
    <t xml:space="preserve">Anualmente en la revisión por la dirección se socializan los cambios identificados por los procesos. </t>
  </si>
  <si>
    <t>ACTIVIDADES DE CONTROL</t>
  </si>
  <si>
    <t>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t>
  </si>
  <si>
    <r>
      <rPr>
        <b/>
        <u/>
        <sz val="11"/>
        <color theme="0"/>
        <rFont val="Arial Narrow"/>
        <family val="2"/>
      </rPr>
      <t xml:space="preserve">
Lineamiento 10: 
</t>
    </r>
    <r>
      <rPr>
        <b/>
        <sz val="11"/>
        <color theme="0"/>
        <rFont val="Arial Narrow"/>
        <family val="2"/>
      </rPr>
      <t>Diseño y desarrollo de actividades de control (Integra el desarrollo de controles con la evaluación de riesgos; tiene en cuenta a qué nivel se aplican las actividades; facilita la segregación de funciones).</t>
    </r>
  </si>
  <si>
    <r>
      <t>Explicación de cómo la Entidad</t>
    </r>
    <r>
      <rPr>
        <b/>
        <u/>
        <sz val="11"/>
        <color theme="0"/>
        <rFont val="Arial Narrow"/>
        <family val="2"/>
      </rPr>
      <t xml:space="preserve"> 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</si>
  <si>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Funcionando</t>
    </r>
    <r>
      <rPr>
        <i/>
        <sz val="11"/>
        <color theme="0"/>
        <rFont val="Arial Narrow"/>
        <family val="2"/>
      </rPr>
      <t xml:space="preserve">
(1/2/3)</t>
    </r>
  </si>
  <si>
    <t>10.1 Para el desarrollo de las actividades de control, la entidad considera la adecuada división de las funciones y que éstas se encuentren segregadas en diferentes personas para reducir el riesgo de error o de incumplimientos de alto impacto en la operación.</t>
  </si>
  <si>
    <t>Los documentos se denominan:  Manual de Funciones Cargos Directivos, Asesores, Ejecutivos y Profesionales y Manual de Funciones Empleados Públicos no Profesionales Y Trabajadores Oficiales</t>
  </si>
  <si>
    <t xml:space="preserve">Los documentos se encuentran publicados en el inicio de la intranet de la Universidad y en el micrositio web de Transparencia y Acceso a la Información Pública </t>
  </si>
  <si>
    <t xml:space="preserve">10.2 Se han identificado y documentado las situaciones específicas en donde no es posible segregar adecuadamente las funciones (ej.: falta de personal, presupuesto), con el fin de definir actividades de control alternativas para cubrir los riesgos identificados. </t>
  </si>
  <si>
    <t>10.3 El diseño de otros  sistemas de gestión (bajo normas o estándares internacionales como la ISO), se entregan de forma adecuada a la estructura de control de la entidad.</t>
  </si>
  <si>
    <t xml:space="preserve">
Dimensión de Gestión con Valores para Resultados
Dimensión de Control Interno
Líneas de Defensa</t>
  </si>
  <si>
    <t xml:space="preserve">Revisión por parte de la Coordinación de Calidad de los cambios en la documentación requerida por los procesos. </t>
  </si>
  <si>
    <t xml:space="preserve">Periódicamente se realiza actualización de la matriz análisis de la planeación estratégica, según los cambios de identificados por cada proceso u otros interesados. </t>
  </si>
  <si>
    <r>
      <rPr>
        <b/>
        <u/>
        <sz val="11"/>
        <color theme="0"/>
        <rFont val="Arial Narrow"/>
        <family val="2"/>
      </rPr>
      <t xml:space="preserve">Lineamiento 11: 
</t>
    </r>
    <r>
      <rPr>
        <b/>
        <sz val="11"/>
        <color theme="0"/>
        <rFont val="Arial Narrow"/>
        <family val="2"/>
      </rPr>
      <t>Seleccionar y Desarrolla controles generales sobre TI para apoyar la consecución de los objetivos .</t>
    </r>
  </si>
  <si>
    <t>11.1 La entidad establece actividades de control relevantes sobre las infraestructuras tecnológicas; los procesos de gestión de la seguridad y sobre los procesos de adquisición, desarrollo y mantenimiento de tecnologías.</t>
  </si>
  <si>
    <t xml:space="preserve">Dimensión de Gestión con Valores para el Resultado
Política de Gobierno Digital 
Política de Seguridad Digital
</t>
  </si>
  <si>
    <t>La División de Contratación hace acompañamiento a los procesos de convocatoria pública  para la adquisición, desarrollo y mantenimiento de tecnologías.</t>
  </si>
  <si>
    <t>Reportes del sistema de monitoreo de red.</t>
  </si>
  <si>
    <t>Reportes del sistema de seguridad perimetral.</t>
  </si>
  <si>
    <t>Catálogo de servicios de la DSI publicado en el portal web institucional</t>
  </si>
  <si>
    <t>Elaboración y Mantenimiento de Software
Documento de estándares de desarrollo</t>
  </si>
  <si>
    <t>Planeación y ejecución del plan anual de mantenimiento preventivo.</t>
  </si>
  <si>
    <t>Actualización e implementación de la documentación del proceso.</t>
  </si>
  <si>
    <t>Asignación de solicitudes mediante el Sistema de Mantenimiento Tecnológico "SIMAT".</t>
  </si>
  <si>
    <t>11.2  Para los proveedores de tecnología  selecciona y desarrolla actividades de control internas sobre las actividades realizadas por el proveedor de servicios.</t>
  </si>
  <si>
    <t>Supervisión de las actividades desarrolladas para el cumplimiento del objeto del contrato.</t>
  </si>
  <si>
    <t>Revisión de los informes de mantenimiento realizados por proveedores externos.</t>
  </si>
  <si>
    <t>Evaluación al proveedor, una vez finalizadas las actividades establecidas en el contrato.</t>
  </si>
  <si>
    <t xml:space="preserve">11.3 Se cuenta con matrices de roles y usuarios siguiendo los principios de segregación de funciones.
</t>
  </si>
  <si>
    <t xml:space="preserve">Dimensión de Gestión con Valores para el Resultado
Política de Fortalecimiento Organizacional y Simplificación de Procesos.
</t>
  </si>
  <si>
    <t>Adicionalmente se identifican roles asignados por las actividades como contratación, ordenación del gasto, que se encuentran a cargo de la División de Contratación y División Financiera.</t>
  </si>
  <si>
    <t>Esquema de seguridad usuario-rol en SI.</t>
  </si>
  <si>
    <t>Restricción de datos por dominio de información en SI.</t>
  </si>
  <si>
    <t xml:space="preserve">11.4 Se cuenta con información de la 3a línea de defensa, como evaluador independiente en relación con los controles implementados por el proveedor de servicios, para  asegurar que los riesgos relacionados se mitigan.
</t>
  </si>
  <si>
    <t>Dimensión Control Interno
Tercera Línea de Defensa</t>
  </si>
  <si>
    <t xml:space="preserve">Desarrollo de auditorías internas de uso del software legal </t>
  </si>
  <si>
    <t xml:space="preserve">Desarrollo de auditorias internas a la contratación incluyendo TI  </t>
  </si>
  <si>
    <t>Auditoría Gobierno Digital y Seguridad de la Información</t>
  </si>
  <si>
    <r>
      <rPr>
        <b/>
        <u/>
        <sz val="11"/>
        <color theme="0"/>
        <rFont val="Arial Narrow"/>
        <family val="2"/>
      </rPr>
      <t xml:space="preserve">Lineamiento 12: 
</t>
    </r>
    <r>
      <rPr>
        <b/>
        <sz val="11"/>
        <color theme="0"/>
        <rFont val="Arial Narrow"/>
        <family val="2"/>
      </rPr>
      <t>Despliegue de políticas y procedimientos (Establece responsabilidades sobre la ejecución de las políticas y procedimientos; Adopta medidas correctivas; Revisa las políticas y procedimientos).</t>
    </r>
  </si>
  <si>
    <t xml:space="preserve">12.1 Se evalúa la actualización de procesos, procedimientos, políticas de operación, instructivos, manuales u otras herramientas para garantizar la aplicación adecuada de las principales actividades de control.
</t>
  </si>
  <si>
    <t>Dimensión de Gestión con Valores para el Resultado
Política de Fortalecimiento Organizacional y Simplificación de Procesos.</t>
  </si>
  <si>
    <t xml:space="preserve">La Universidad tiene implementado el procedimiento de control de documentos internos y formato de solicitud de actualización de documentos los cuales establecen las pautas de creación, actualización o eliminación de documentos. </t>
  </si>
  <si>
    <t xml:space="preserve">La creación o eliminación de documentos se realiza a través de actos administrativos emitidos por Rectoría.  </t>
  </si>
  <si>
    <t xml:space="preserve">Los líderes de proceso revisan y aprueban los cambios en la documentación  por medio del formato   de solicitud de actualización de documentos. </t>
  </si>
  <si>
    <t xml:space="preserve">Los cambios en las políticas son revisados y aprobados por la alta dirección. </t>
  </si>
  <si>
    <t>Revisión por parte de Planeación de los cambios en la documentación de carácter transversal requerida por los procesos.</t>
  </si>
  <si>
    <t>12.2  El diseño de controles se evalúa frente a la gestión del riesgo.</t>
  </si>
  <si>
    <t xml:space="preserve">Todas las Dimensiones de MIPG 
</t>
  </si>
  <si>
    <t xml:space="preserve">12.3  Monitoreo a los riesgos acorde con la política de administración de riesgo establecida para la entidad.
</t>
  </si>
  <si>
    <t>Dimensión de Direccionamiento Estratégico y Planeación
Política de Planeación Institucional.</t>
  </si>
  <si>
    <t>Los diferentes procesos monitorean los riesgos asociados al desarrollo de sus actividades y establecen controles o acciones necesarias para su evitar su materialización</t>
  </si>
  <si>
    <t>Periódicamente se realiza seguimiento y actualización de los mapas de riesgos</t>
  </si>
  <si>
    <t>12.4 Verificación de que los responsables estén ejecutando los controles tal como han sido diseñados.</t>
  </si>
  <si>
    <t>Dimensión Control Interno
Segunda Línea de Defensa</t>
  </si>
  <si>
    <t xml:space="preserve">La Dirección de Control Interno y Evaluación de Gestión a través de las auditorias verifica el cumplimiento o fallas de los controles  y las acciones pertinentes para fortalecerlos. </t>
  </si>
  <si>
    <t>12.5  Se evalúa la adecuación de los controles a las especificidades de cada proceso, considerando cambios en regulaciones, estructuras internas u otros aspectos que determinen cambios en su diseño.</t>
  </si>
  <si>
    <t>Dimensión Control Interno
 Líneas de Defensa</t>
  </si>
  <si>
    <t>Se cuenta con el Manual de Administración de Riesgos que define los lineamientos para la evaluación de los controles.
Se cuenta también con la Matriz de Riesgos que contempla el planteamiento de controles acordes a los riesgos identificados de acuerdo a los objetivos de cada proceso.</t>
  </si>
  <si>
    <t>Actualización de la matriz de riesgos en donde se evalúa que los controles estén acordes a los riesgos identificados a partir de los objetivos del proceso.</t>
  </si>
  <si>
    <t>Periódicamente se realiza seguimiento de los mapas de riesgos</t>
  </si>
  <si>
    <t>INFORMACIÓN Y COMUNICACIÓN</t>
  </si>
  <si>
    <t>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Se requiere que todos los servidores de la entidad reciban un claro mensaje de la Alta Dirección sobre las responsabilidades de control. Deben comprender su función frente al Sistema de Control Interno.</t>
  </si>
  <si>
    <r>
      <t xml:space="preserve">
Lineamiento 13: 
</t>
    </r>
    <r>
      <rPr>
        <b/>
        <sz val="11"/>
        <color theme="0"/>
        <rFont val="Arial Narrow"/>
        <family val="2"/>
      </rPr>
      <t>Utilización de información relevante (Identifica requisitos de información; Capta fuentes de datos internas y externas; Procesa datos relevantes y los transforma en información).</t>
    </r>
  </si>
  <si>
    <t>13.1 La entidad ha diseñado sistemas de información para capturar y procesar datos y transformarlos en información para alcanzar los requerimientos de información definidos.</t>
  </si>
  <si>
    <t xml:space="preserve">Dimensión de Información y comunicación 
</t>
  </si>
  <si>
    <t>La Universidad cuenta con más de 30 sistemas de información hechos a la medida de sus necesidades, los cuales le permiten obtener la información requerida para el desarrollo de sus procesos misionales y de apoyo.</t>
  </si>
  <si>
    <t>Más de 30 sistemas de información en funcionamiento.</t>
  </si>
  <si>
    <t>La institución cuenta con más de 30 sistemas de información hechos a la medida de sus necesidades de las UAA, los cuales le permiten obtener la información requerida para el desarrollo de los procesos misionales y de apoyo.</t>
  </si>
  <si>
    <t>Reportes de los sistemas de información.</t>
  </si>
  <si>
    <t>13.2  La entidad cuenta con el inventario de información relevante (interno/externa) y cuenta con un mecanismo que permita su actualización.</t>
  </si>
  <si>
    <t>Dimensión de Información y comunicación 
Política de Transparencia y Acceso a la Información Publica</t>
  </si>
  <si>
    <t>Actualización de las Tablas de Retención por parte de las UAA (formato FGD.38)</t>
  </si>
  <si>
    <t>Actas de Comité de Archivo-Actas Comité de Gestión y Desempeño</t>
  </si>
  <si>
    <t>Inventarios Documentales donde se registra las series y subseries transferidas por parte de las UAA</t>
  </si>
  <si>
    <t>13.3 La entidad considera un ámbito amplio de fuentes de datos (internas y externas), para la captura y procesamiento posterior de información clave para la consecución de metas y objetivos.</t>
  </si>
  <si>
    <t>Más de 30 sistemas de información funcionando.</t>
  </si>
  <si>
    <t xml:space="preserve">Bases de datos a través del sistema de biblioteca </t>
  </si>
  <si>
    <t>13.4 La entidad ha desarrollado e implementado actividades de control sobre la integridad, confidencialidad y disponibilidad de los datos e información definidos como relevantes.</t>
  </si>
  <si>
    <t>Todos los funcionarios de la DGTH, contratistas y estudiantes en auxiliatura estudiantil firman un acuerdo de confidencialidad frente a la información a la cual se tiene acceso en el desarrollo de las actividades propias de cada subproceso.</t>
  </si>
  <si>
    <t>Mapa de riesgos de activos de información digital</t>
  </si>
  <si>
    <t>Elaboración del Índice de Información Clasificada y Reservada y las Tablas de Control de Acceso
Elaboración del Instructivo para la Consulta de Documentos de Archivo
Socialización de los Instrumentos Archivísticos e Instructivo
Sensibilización de la Ley de Transparencia en temas de Gestión Documental.</t>
  </si>
  <si>
    <r>
      <t xml:space="preserve">
Lineamiento 14: 
</t>
    </r>
    <r>
      <rPr>
        <b/>
        <sz val="11"/>
        <color theme="0"/>
        <rFont val="Arial Narrow"/>
        <family val="2"/>
      </rPr>
      <t>Comunicación Interna (Se comunica con el Comité Institucional de Coordinación de Control Interno o su equivalente; Facilita líneas de comunicación en todos los niveles; Selecciona el método de comunicación pertinente).</t>
    </r>
  </si>
  <si>
    <t>14.1 Para la comunicación interna la Alta Dirección tiene mecanismos que permitan dar a conocer los objetivos y metas estratégicas, de manera tal que todo el personal entiende su papel en su consecución. (Considera los canales más apropiados y evalúa su efectividad).</t>
  </si>
  <si>
    <t xml:space="preserve">Dimensión de Información y comunicación
</t>
  </si>
  <si>
    <t>Las UAA formulan sus proyectos y presupuesto de acuerdo a los lineamientos e instrucciones recibidas</t>
  </si>
  <si>
    <t>El Consejo Superior aprueba el Programa de Gestión Anual y Presupuesto General</t>
  </si>
  <si>
    <t>14.2 La entidad cuenta con políticas de operación relacionadas con la administración de la información (niveles de autoridad y responsabilidad)</t>
  </si>
  <si>
    <t>Matriz de Responsabilidades de la Gestión Documental contemplada en el Programa de Gestión Documental</t>
  </si>
  <si>
    <t>14.3 La entidad cuenta con canales de información internos para la denuncia anónima o confidencial de posibles situaciones irregulares y se cuenta con mecanismos específicos para su manejo, de manera tal que generen la confianza para utilizarlos.</t>
  </si>
  <si>
    <t xml:space="preserve">Seguimiento diario a las solicitudes registradas en el aplicativo de PQRSDR </t>
  </si>
  <si>
    <t xml:space="preserve">Formulación de acciones de mejora por parte de las Unidades Académico Administrativas. </t>
  </si>
  <si>
    <t>14.4 La entidad establece e implementa políticas y procedimientos para facilitar una comunicación interna efectiva.</t>
  </si>
  <si>
    <t>Programa de Gestión Documental</t>
  </si>
  <si>
    <t>Instructivo para la Organización de Archivos de Gestión</t>
  </si>
  <si>
    <t>Instructivo para la Eliminación Documental</t>
  </si>
  <si>
    <t>Instructivo para la Consulta de Documentos
Tips  Archivísticos</t>
  </si>
  <si>
    <t xml:space="preserve">Se realiza actualización del manual de Comunicaciones Internas y Externas </t>
  </si>
  <si>
    <r>
      <t xml:space="preserve">
Lineamiento 15: 
</t>
    </r>
    <r>
      <rPr>
        <b/>
        <sz val="11"/>
        <color theme="0"/>
        <rFont val="Arial Narrow"/>
        <family val="2"/>
      </rPr>
      <t>Comunicación con el exterior (Se comunica con los grupos de valor y con terceros externos interesados; Facilita líneas de comunicación).</t>
    </r>
  </si>
  <si>
    <t xml:space="preserve">15.1 La entidad desarrolla e implementa controles que facilitan la comunicación externa, la cual incluye  políticas y procedimientos. 
Incluye contratistas y proveedores de servicios tercerizadas (cuando aplique). </t>
  </si>
  <si>
    <t xml:space="preserve">
Dimensión de Información y Comunicación
Dimensión de Control Interno
Primera Línea de Defensa</t>
  </si>
  <si>
    <t>Procedimiento Correspondencia Recibida</t>
  </si>
  <si>
    <t>Acompañamiento y gestión de espacios de relacionamiento con los medios externos de comunicación</t>
  </si>
  <si>
    <t>Elaboración de contenido radiales mediante la producción, locución y emisión de piezas para promocionar los eventos y logros institucionales</t>
  </si>
  <si>
    <t xml:space="preserve">Matriz de interacción de información institucional </t>
  </si>
  <si>
    <t xml:space="preserve">15.2 La entidad cuenta con canales externos definidos de comunicación, asociados con el tipo de información a divulgar, y éstos son reconocidos a todo nivel de la organización.
</t>
  </si>
  <si>
    <t xml:space="preserve">Dimensión de Información y Comunicación
Política de Transparencia, acceso a la información pública y lucha
contra la corrupción </t>
  </si>
  <si>
    <t>Ventanilla Única</t>
  </si>
  <si>
    <t xml:space="preserve">Ventanilla Virtual </t>
  </si>
  <si>
    <t>Operadores externos de mensajería</t>
  </si>
  <si>
    <t xml:space="preserve">Participación a los encuentros de la Red de Radios Universitarias </t>
  </si>
  <si>
    <t>Participación en el Canal Universitario Nacional de Colombia ZOOM</t>
  </si>
  <si>
    <t>15.3 La entidad cuenta con procesos o procedimiento para el manejo de la información entrante (quién la recibe, quién la clasifica, quién la analiza), y a la respuesta requerida (quién la canaliza y la responde).</t>
  </si>
  <si>
    <t xml:space="preserve">Dimensión de Información y Comunicación
Política de Gestión Documental
Política de Transparencia, acceso a la información pública y lucha
contra la corrupción </t>
  </si>
  <si>
    <t>Procedimiento de Correspondencia Recibida</t>
  </si>
  <si>
    <t xml:space="preserve">15.4 La entidad cuenta con procesos o procedimientos encaminados a evaluar periódicamente la efectividad de los canales de comunicación con partes externas, así como sus contenidos, de tal forma que se puedan mejorar.
</t>
  </si>
  <si>
    <t>Dimensión de Información y Comunicación
Política de Control Interno
Líneas de Defensa</t>
  </si>
  <si>
    <t xml:space="preserve">1. Informe de Gestión Anual entregado para la Rendición de cuentas 
2. Informe mensual del Engagement de las redes sociales </t>
  </si>
  <si>
    <t>Seguimiento mediante Informes anuales de las actividades desarrolladas en la dirección de comunicaciones.</t>
  </si>
  <si>
    <t xml:space="preserve">Seguimiento de indicadores de efectividad en los medios y niveles de audiencia que se reportan en el informe de desempeño trimestral. </t>
  </si>
  <si>
    <t>15.5 La entidad analiza periódicamente su caracterización de usuarios o grupos de valor, a fin de actualizarla cuando sea pertinente.</t>
  </si>
  <si>
    <t>Dimensión de Direccionamiento Estratégico y Planeación
Política de Planeación Institucional</t>
  </si>
  <si>
    <t>Se cuenta con una matriz de grupos de interés que relaciona las necesidades y expectativas, medios de interacción y priorización de personas o grupos de personas con interés en la Institución</t>
  </si>
  <si>
    <t>Revisión y actualización de la matriz de grupos de interés cuando aplique</t>
  </si>
  <si>
    <t>15.6 La entidad analiza periódicamente los resultados frente a la evaluación de percepción por parte de los usuarios o grupos de valor para la incorporación de las mejoras correspondientes.</t>
  </si>
  <si>
    <t>Cada proceso realiza evaluación de satisfacción de sus grupos de interés</t>
  </si>
  <si>
    <t>En la matriz de grupos de interés se incluye una columna de seguimiento a las expectativas</t>
  </si>
  <si>
    <t>ACTIVIDADES DE MONITOREO</t>
  </si>
  <si>
    <t>Este componente considera actividades en el día a día de la gestión institucional, así como a través de evaluaciones periódicas (autoevaluación, auditorías). Su propósito es valorar: (i) la efectividad del control interno de la entidad pública; (ii) la eficiencia, eficacia y efectividad de los procesos; (iii) el nivel de ejecución de los planes, programas y proyectos; (iv) los resultados de la gestión, con el propósito de detectar desviaciones, establecer tendencias, y generar recomendaciones para orientar las acciones de mejoramiento de la entidad pública.</t>
  </si>
  <si>
    <r>
      <rPr>
        <b/>
        <u/>
        <sz val="11"/>
        <color theme="0"/>
        <rFont val="Arial Narrow"/>
        <family val="2"/>
      </rPr>
      <t xml:space="preserve">Lineamiento 16. </t>
    </r>
    <r>
      <rPr>
        <sz val="11"/>
        <color theme="0"/>
        <rFont val="Arial Narrow"/>
        <family val="2"/>
      </rPr>
      <t xml:space="preserve"> Evaluaciones continuas y/o separadas (autoevaluación, auditorías) para determinar si los componentes del Sistema de Control Interno están presentes y funcionando.
</t>
    </r>
  </si>
  <si>
    <t>Dimensión de Control Interno
Líneas Estratégica</t>
  </si>
  <si>
    <t>16.2  La Alta Dirección periódicamente evalúa los resultados de las evaluaciones (continuas e independientes)  para concluir acerca de la efectividad del Sistema de Control Interno</t>
  </si>
  <si>
    <t>16.3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</si>
  <si>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Dimensión de Control Interno
Tercera Línea de Defensa</t>
  </si>
  <si>
    <t xml:space="preserve">Programa anual de auditorías y acta de aprobación </t>
  </si>
  <si>
    <t xml:space="preserve">Informes de auditoría interna </t>
  </si>
  <si>
    <t xml:space="preserve">Seguimiento a los planes de acción derivados de auditorias internas </t>
  </si>
  <si>
    <t>16.4 Acorde con el Esquema de Líneas de Defensa se han implementado procedimientos de monitoreo continuo como parte de las actividades de la 2a línea de defensa, a fin de contar con información clave para la toma de decisiones.</t>
  </si>
  <si>
    <t>Dimensión de Control Interno
Segunda Línea de Defensa</t>
  </si>
  <si>
    <t>En el Manual de Administración de Riesgos se cuenta con la definición de roles y responsabilidades de las líneas de defensa frente al manejo de riesgos.
Se cuenta con procedimientos de Programación Presupuestal y de Gestión, Elaboración del POAI, Formulación y viabilización de proyectos de inversión en el BPPIUIS y formulación del Plan de Desarrollo Institucional</t>
  </si>
  <si>
    <t xml:space="preserve">Revisar los cambios en el direccionamiento estratégico o en el entorno y cómo estos puedan generar nuevos riesgos o modificar los que ya se tienen identificados en cada uno de los procesos, con el fin de solicitar y apoyar en la actualización de las matrices de riesgos. </t>
  </si>
  <si>
    <t>16.5 Frente a las evaluaciones independientes la entidad considera evaluaciones externas de organismos de control, de vigilancia, certificadores, ONG´s u otros que permitan tener una mirada independiente de las operaciones.</t>
  </si>
  <si>
    <t xml:space="preserve">La universidad recibe evaluaciones externas por parte de: Entes de control externo (Contraloría General de Santander, Contraloría General de la República, Procuraduría General de la Nación), entes de vigilancia y control (Ministerio de Educación Nacional), ente certificador (ICONTEC, ONAC, IDEAM, CDMB).   </t>
  </si>
  <si>
    <t xml:space="preserve">Informes de las visitas de los entes de control </t>
  </si>
  <si>
    <t xml:space="preserve">Informe de visita de pares académicos en el marco de procesos de acreditación. </t>
  </si>
  <si>
    <t xml:space="preserve">Planes de Mejoramiento derivados de la acreditación de programas académicos e institucional. </t>
  </si>
  <si>
    <t xml:space="preserve">Informes de auditorías de seguimiento o renovación de certificación y acreditación. </t>
  </si>
  <si>
    <t xml:space="preserve">Presentación de informes ante CDMB y generación de certificado del manejo ambiental. </t>
  </si>
  <si>
    <r>
      <rPr>
        <b/>
        <u/>
        <sz val="11"/>
        <color theme="0"/>
        <rFont val="Arial Narrow"/>
        <family val="2"/>
      </rPr>
      <t xml:space="preserve">Lineamiento 17. </t>
    </r>
    <r>
      <rPr>
        <sz val="11"/>
        <color theme="0"/>
        <rFont val="Arial Narrow"/>
        <family val="2"/>
      </rPr>
      <t xml:space="preserve"> 
Evaluación y comunicación de deficiencias oportunamente (Evalúa los resultados, Comunica las deficiencias y Monitorea las medidas correctivas).
</t>
    </r>
  </si>
  <si>
    <t>17.1 A partir de la información de las evaluaciones independientes, se evalúan para determinar su efecto en el Sistema de Control Interno de la entidad y su impacto en el logro de los objetivos, a fin de determinar cursos de acción para su mejora.</t>
  </si>
  <si>
    <t xml:space="preserve">A partir de la evaluación de los resultados de las auditorías internas las unidades formulan planes de acción o corrección, a los cuales se les hace seguimiento por parte de la DCIEG y se verifica su eficacia. </t>
  </si>
  <si>
    <t xml:space="preserve">Formulación de planes de acción o corrección. </t>
  </si>
  <si>
    <t xml:space="preserve">Seguimiento a las actividades propuestas en el plan de acción o corrección. </t>
  </si>
  <si>
    <t>17.2 Los informes recibidos de entes externos (organismos de control, auditores externos, entidades de vigilancia entre otros) se consolidan y se concluye sobre el impacto en el Sistema de Control Interno, a fin de determinar los cursos de acción.</t>
  </si>
  <si>
    <t xml:space="preserve">Formulación de acciones en Planes de Mejoramiento de organismos externos (organismos de control, auditores externos, entidades de vigilancia entre otros), para los casos que aplique. </t>
  </si>
  <si>
    <t xml:space="preserve">Seguimientos a los planes de mejoramiento  por parte de las unidades responsables y de la DCIEG. </t>
  </si>
  <si>
    <t xml:space="preserve">Presentación de avances de los planes de mejoramiento de los entes de control ante el Comité de Coordinación de Control Interno. </t>
  </si>
  <si>
    <t>17.3 La entidad cuenta con políticas donde se establezca a quién reportar las deficiencias de control interno como resultado del monitoreo continuo.</t>
  </si>
  <si>
    <t xml:space="preserve">Los grupos de interés pueden realizar reportes de deficiencias de control interno directamente a la Alta Dirección o a la oficina de Control interno Disciplinario. </t>
  </si>
  <si>
    <t xml:space="preserve">Seguimiento al módulo de PQRSDR con relación a deficiencias del control interno. </t>
  </si>
  <si>
    <t xml:space="preserve">Revisión de deficiencias del sistema control interno reportadas a través de correos electrónicos. </t>
  </si>
  <si>
    <t>Actas de Comité Institucional de Coordinación de Control Interno</t>
  </si>
  <si>
    <t>Matriz de Roles,  Responsabilidades y Autoridades</t>
  </si>
  <si>
    <t>17.4 La Alta Dirección hace seguimiento a las acciones correctivas relacionadas con las deficiencias comunicadas sobre el Sistema de Control Interno y si se han cumplido en el tiempo establecido.</t>
  </si>
  <si>
    <t xml:space="preserve">En caso de presentarse situaciones que ameriten acciones correctivas, éstas son formuladas y ejecutadas por los líderes o jefes de unidad. 
Los planes de acción o corrección formulados por los procesos son socializados y analizados en la revisión por la dirección y en el marco del Comité de Coordinación de Control Interno y Evaluación de Gestión.   </t>
  </si>
  <si>
    <t xml:space="preserve">Diligenciamiento el formato de acciones correctivas y desarrollo de las acciones formuladas. </t>
  </si>
  <si>
    <t xml:space="preserve">Seguimiento a las acciones correctivas por parte de los órganos de gobierno y dirección. </t>
  </si>
  <si>
    <t xml:space="preserve">Seguimiento a las acciones correctivas por parte de la Coordinación de Calidad.  </t>
  </si>
  <si>
    <t xml:space="preserve">Seguimiento a los planes de acción derivados de auditorias externas. </t>
  </si>
  <si>
    <t>17.5 Los procesos y/o servicios tercerizados, son evaluados acorde con su nivel de riesgos.</t>
  </si>
  <si>
    <t>Se implementa lo establecido en el Acuerdo del Consejo Superior No. 079 de 2019, para la contratación, ejecución, finalización y liquidación de los servicios de aseo y vigilancia.</t>
  </si>
  <si>
    <t>El supervisor de los contratos de aseo y vigilancia y los responsables de planta física de las sedes, realizan seguimiento y evaluación mensual de estos servicios.</t>
  </si>
  <si>
    <t>El supervisor de los contratos de aseo y vigilancia y los responsables de planta física de las sedes, comunican y realizan seguimiento a las falencias o medidas correctivas.</t>
  </si>
  <si>
    <t>17.6 Se evalúa la información suministrada por los usuarios (Sistema PQRD), así como de otras partes interesadas para la mejora del  Sistema de Control Interno de la Entidad?</t>
  </si>
  <si>
    <t xml:space="preserve">
Dimensión de Información y Comunicación 
Dimensión de Control Interno
Líneas de Defensa</t>
  </si>
  <si>
    <t>Publicación en la página web institucional del informe estadístico y de análisis de PQRSDR</t>
  </si>
  <si>
    <t xml:space="preserve">Socialización de los resultados del informe PQRSDR en el marco de la revisión por la dirección y del Comité de Coordinación de Control Interno. </t>
  </si>
  <si>
    <t xml:space="preserve">17.7 Verificación del avance y cumplimiento de las acciones incluidas en los planes de mejoramiento producto de las autoevaluaciones. (2ª Línea).
</t>
  </si>
  <si>
    <t xml:space="preserve">
Dimensión de Control Interno
Líneas de Defensa</t>
  </si>
  <si>
    <t xml:space="preserve">Informe anual de seguimiento a  los planes de mejoramiento de acreditación de programas e institucional. </t>
  </si>
  <si>
    <t xml:space="preserve">Seguimiento a los indicadores Plan de Desarrollo Institucional. </t>
  </si>
  <si>
    <t xml:space="preserve">Seguimiento e informe al programa anual de gestión institucional y de unidades. </t>
  </si>
  <si>
    <t>17.8 Evaluación de la efectividad de las acciones incluidas en los Planes de mejoramiento producto de las auditorías internas y de entes externos. (3ª Línea)</t>
  </si>
  <si>
    <t>Seguimiento a los planes de acción o corrección derivados de auditorías internas de gestión.</t>
  </si>
  <si>
    <t xml:space="preserve">Seguimiento a los planes de mejoramiento derivados de auditorias de entes de control y reporte al Comité de Coordinación de Control Interno. </t>
  </si>
  <si>
    <t>17.9 Las deficiencias de control interno son reportadas a los responsables de nivel jerárquico superior, para tomar la acciones correspondientes?</t>
  </si>
  <si>
    <t>ANÁLISIS DE RESULTADOS PARA LA TOMA DE DECISIONES</t>
  </si>
  <si>
    <t>Se encuentra presente y funciona correctamente, por lo tanto se requiere acciones o actividades  dirigidas a su mantenimiento dentro del marco de las líneas de defensa.</t>
  </si>
  <si>
    <t xml:space="preserve">Se encuentra presente  y funcionando, pero requiere mejoras frente a su diseño, ya que  opera de manera efectiva
</t>
  </si>
  <si>
    <t>Se encuentra presente  y funcionando, pero requiere mejoras frente a su diseño, ya que  opera de manera efectiva</t>
  </si>
  <si>
    <t>Cuando en el análisis de los requerimientos en los diferentes componentes del MECI se cuente con aspectos evaluados en nivel 2 (presente) y 2 (funcionando); 3 (presente) y 1 (funcionando); 3 (presente) y 2 (funcionando);2 (presente) y 1 (funcionando)</t>
  </si>
  <si>
    <t>Se encuentra presente y funcionando, pero requiere acciones dirigidas a fortalecer  o mejorar su diseño y/o ejecución.</t>
  </si>
  <si>
    <t>Cuando en el análisis de los requerimientos en los diferentes componentes del MECI se cuente con aspectos evaluados en nivel 1 (presente) y 1 (funcionando); ;1 (presente) y 2 (funcionando); 1(presente) y 3 (funcionando).</t>
  </si>
  <si>
    <t>Registro de deficiencias</t>
  </si>
  <si>
    <t>RESULTADOS</t>
  </si>
  <si>
    <t>FUENTE DEL ANALISIS</t>
  </si>
  <si>
    <t>CONTROL PRESENTE</t>
  </si>
  <si>
    <t>CONTROL FUNCIONANDO</t>
  </si>
  <si>
    <t>OBSERVACIONES DEL CONTROL</t>
  </si>
  <si>
    <t>NIVEL DE CUMPLIMIENTO-ASPECTOS PARTICULARES POR COMPONENTE</t>
  </si>
  <si>
    <t>NIVEL DE CUMPLIMIENTO- DEL COMPONENTE</t>
  </si>
  <si>
    <t>RECOMENDACIONES DESDE LA MIRADA DE EVALUACION INDEPENDIENTE</t>
  </si>
  <si>
    <t>PLANES DE MEJORAMIENTO (Donde aplique)</t>
  </si>
  <si>
    <t>Id. Requerimiento</t>
  </si>
  <si>
    <t>Descripción del Lineamiento</t>
  </si>
  <si>
    <t>Pregunta Indicativa</t>
  </si>
  <si>
    <t>Acción(es) de Mejora</t>
  </si>
  <si>
    <t>Fecha de Inicio</t>
  </si>
  <si>
    <t>Fecha Terminación</t>
  </si>
  <si>
    <t>Responsable</t>
  </si>
  <si>
    <t>% de avance
II sem</t>
  </si>
  <si>
    <t>Seguimiento</t>
  </si>
  <si>
    <t xml:space="preserve">Junio de 2020 </t>
  </si>
  <si>
    <t>Diciembre de 2022</t>
  </si>
  <si>
    <t xml:space="preserve">Planeación 
Vicerrectoría Administrativa 
Dirección de Control Interno y Evaluación de Gestión. </t>
  </si>
  <si>
    <t xml:space="preserve">1.1 Elaborar e implementar el código de Integridad </t>
  </si>
  <si>
    <t xml:space="preserve">División de Gestión de Talento Humano </t>
  </si>
  <si>
    <t>Mediante la resolución 0534 de 2022 fue aprobado el código de integridad, quedando como compromiso por parte de la División de Gestión de Talento Humano la divulgación.</t>
  </si>
  <si>
    <t xml:space="preserve">Elaborar y divulgar el código de integridad </t>
  </si>
  <si>
    <t xml:space="preserve">1.4 Elaborar e implementar el código de Integridad y contemplar los lineamientos que allí se establezcan para la actualización y seguimiento del mapa de Riesgos de Corrupción </t>
  </si>
  <si>
    <t xml:space="preserve">División de Gestión de Talento Humano 
Planeación 
Vicerrectoría Administrativa 
Dirección de Control Interno y Evaluación de Gestión. </t>
  </si>
  <si>
    <t xml:space="preserve">Mediante la resolución 0534 de 2022 fue aprobado el código de integridad, liderado por la División de Gestión de Talento Humano pendiente fortalecer el tema de difusión del documento </t>
  </si>
  <si>
    <t xml:space="preserve">Fortalecer la divulgación del Código de Integridad UIS por parte de la División de Gestión de Talento Humano acción que se encuentra contemplada en el mapa de riesgos de corrupción. </t>
  </si>
  <si>
    <t>1.5 Elaborar e implementar el código de Integridad y contemplar la posibilidad de implementar una línea de denuncia interna sobre situaciones irregulares o posibles incumplimientos al código de integridad.</t>
  </si>
  <si>
    <t>La División de Gestión de Talento Humano realizó la socialización del Código de Integridad a cargos directivos, jefes de UAA y a funcionarios administrativos de la Universidad. Adicionalmente, el documento se encuentra publicado en la página web institucional con acceso abierto para ser consultado por todos los funcionarios públicos de la UIS.</t>
  </si>
  <si>
    <t xml:space="preserve">2.2 Revisar y actualizar la matriz de roles, responsabilidades y autoridades frente a la definición del esquema de líneas de defensa. </t>
  </si>
  <si>
    <t xml:space="preserve">1. Se realizó la actualización de la matriz de roles, responsabilidades y autoridades incluyendo las Líneas de Defensa del Modelo Integrado de Planeación y Gestión aprobado por el Comité de Gestión y  Desempeño Institucional. </t>
  </si>
  <si>
    <t xml:space="preserve">2.3 Revisar y actualizar la matriz de roles, responsabilidades y autoridades frente a la definición del esquema de líneas de defensa. </t>
  </si>
  <si>
    <t xml:space="preserve">4.1 Construir los documentos de planeación estratégica de la gestión del talento humano que se requieren para dar cumplimiento a los lineamientos del MIPG. </t>
  </si>
  <si>
    <t>4.2 Construir las propuestas para el Plan Anual de Vacantes y Plan de Previsión de Recursos Humanos.</t>
  </si>
  <si>
    <t xml:space="preserve">4.3 Elaborar propuesta para el programa de Bienestar e incentivos (actualmente existe como plan de gestión de Bienestar) </t>
  </si>
  <si>
    <t xml:space="preserve">Revisar y fortalecer las actividades relacionadas con el retiro del personal  desde el enfoque de asuntos pensionales. </t>
  </si>
  <si>
    <t xml:space="preserve">4.5 Elaborar el plan de retiro y desde el subproceso de Asuntos Pensionales realizar actividades para atender lo correspondiente. </t>
  </si>
  <si>
    <t xml:space="preserve">Estructurar el esquema de líneas de defensa acorde a la estructura institucional y al funcionamiento de la de la universidad. </t>
  </si>
  <si>
    <t xml:space="preserve">5.1 Actualizar el anexo de roles,  responsabilidades y autoridades del sistema de gestión integrado incorporando las líneas de defensa. </t>
  </si>
  <si>
    <t>Socializar el informe de la bores anual de la oficina de control interno como mecanismo para la mejora continua</t>
  </si>
  <si>
    <t xml:space="preserve">5.6 Elaborar y presentar anualmente Informe de las actividades de la Dirección de Control Interno y Evaluación de Gestión ante la Dirección de la Universidad. </t>
  </si>
  <si>
    <t>Junio de 2020</t>
  </si>
  <si>
    <t xml:space="preserve">Dirección de Control Interno y Evaluación de Gestión. </t>
  </si>
  <si>
    <t xml:space="preserve">El informe de labores en presentado periódicamente en el comité de coordinación de control interno, en donde se encuentran los representantes de la alta dirección y se socializan las diferentes actividades desarrolladas por la DCIEG. </t>
  </si>
  <si>
    <t xml:space="preserve">Continuar con el fortalecimiento de la gestión de riesgos de la universidad teniendo como guía los lineamientos impartidos por el DAFP y las normas ISO </t>
  </si>
  <si>
    <t>8.4 Actualizar el Mapa de Riesgos institucional con base en la actualización de la política y metodología de Administración de riesgos de la universidad conforme a la versión 3 de la Guía para la Administración del Riesgo de Gestión y Corrupción y Diseño de Controles en Entidades Públicas (DAFP), ISO 31000  y los lineamientos de la ISO 9001:2015</t>
  </si>
  <si>
    <t xml:space="preserve">6.1 Actualizar la Matriz Análisis de la Planeación Estratégica y gestionar su vinculación al Sistema de Gestión de Calidad </t>
  </si>
  <si>
    <t>Se realizó la creación y aprobación de la Matriz de Análisis de la Planeación Estratégica por el Vicerrector Administrativo y Jefe de Planeación el 24 de febrero 2021. Publicada en el Mapa de Procesos en Dirección Institucional.</t>
  </si>
  <si>
    <t xml:space="preserve">Incorporar en la estructura del sistema de gestión en lo relacionado con la gestión de cambio el posible impacto sobre el control interno institucional. </t>
  </si>
  <si>
    <t>9.5 Incorporar en la documentación el posible impacto sobre el control interno a causa de posibles cambios en los diferentes niveles de la organización.  
(procedimiento de gestión de cambio)</t>
  </si>
  <si>
    <t xml:space="preserve">Incorporar en las auditorías desde el eje de sistemas e infraestructura física y tecnológica, la verificación de controles implementados por el proveedor de servicios, para  asegurar que los riesgos relacionados con TI se mitiguen. </t>
  </si>
  <si>
    <t xml:space="preserve">11.4 Realizar Auditoría Interna desde el eje de sistemas e infraestructura física y tecnológica, incluyendo la verificación de controles implementados por el proveedor de servicios, para asegurar que los riesgos relacionados con TI se mitiguen (actividad que se debe incorporar en cada vigencia). </t>
  </si>
  <si>
    <t>12.2 Actualizar el Mapa de Riesgos institucional con base en la actualización de la política y metodología de Administración de riesgos de la universidad conforme a la versión 3 de la Guía para la Administración del Riesgo de Gestión y Corrupción y Diseño de Controles en Entidades Públicas (DAFP), ISO 31000  y los lineamientos de la ISO 9001:2015</t>
  </si>
  <si>
    <t>12.4 Actualizar el Mapa de Riesgos institucional con base en la actualización de la política y metodología de Administración de riesgos de la universidad conforme a la versión 3 de la Guía para la Administración del Riesgo de Gestión y Corrupción y Diseño de Controles en Entidades Públicas (DAFP), ISO 31000  y los lineamientos de la ISO 9001:2016</t>
  </si>
  <si>
    <t>12.5 Actualizar el Mapa de Riesgos institucional con base en la actualización de la política y metodología de Administración de riesgos de la universidad conforme a la versión 3 de la Guía para la Administración del Riesgo de Gestión y Corrupción y Diseño de Controles en Entidades Públicas (DAFP), ISO 31000  y los lineamientos de la ISO 9001:2017</t>
  </si>
  <si>
    <t>Realizar y socializar la identificación de activos de información. DSI</t>
  </si>
  <si>
    <t>13.2 Gestionar la aprobación de la metodología de identificación de activos de información y socializarla con el fin de mantener actualizado el inventario de activos de información DSI.</t>
  </si>
  <si>
    <t xml:space="preserve">noviembre de 2023 </t>
  </si>
  <si>
    <t>División de Servicios de Información 
Gestión Documental</t>
  </si>
  <si>
    <t xml:space="preserve">Plantear, gestionar la aprobación e implementación de las políticas en el marco del sistema de seguridad y privacidad de la información. </t>
  </si>
  <si>
    <t>14.2 Gestionar la aprobación de las políticas en el marco del Modelo de Seguridad y Privacidad de la Información - MSPI, ante el Comité Institucional de Gestión y Desempeño.</t>
  </si>
  <si>
    <t xml:space="preserve">Junio de 2023 </t>
  </si>
  <si>
    <t xml:space="preserve">División de Servicios de Información </t>
  </si>
  <si>
    <t>Socializar el informe de labores anual de la oficina de control interno como mecanismo para la mejora continua</t>
  </si>
  <si>
    <t xml:space="preserve">16.2 Socializar con la alta dirección el Informe anual de las actividades de la Dirección de Control Interno y Evaluación de Gestión. </t>
  </si>
  <si>
    <t xml:space="preserve">Incorporar en la estructura del sistema de gestión en lo relacionado con a quién reportar las deficiencias de control interno como resultado del monitoreo continuo. </t>
  </si>
  <si>
    <t>17.3 Establecer lineamientos frente al establecimiento de a quién reportar las deficiencias de control interno como resultado del monitoreo continuo.</t>
  </si>
  <si>
    <t xml:space="preserve">Se incluyó en la Matriz de Roles, Responsabilidades y autoridades en la tercera línea de defensa la responsabilidad "Reportar las deficiencias de control interno como resultado del monitoreo continuo al Comité Institucional de Coordinación de Control Interno".
El documento Anexo3. Matriz de Roles, Responsabilidades y Autoridades, hace parte del proceso Dirección Institucional. </t>
  </si>
  <si>
    <t>Nombre de la Entidad:</t>
  </si>
  <si>
    <t xml:space="preserve">UNIVERSIDAD INDUSTRIAL DE SANTANDER </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</si>
  <si>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</si>
  <si>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</si>
  <si>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</si>
  <si>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</si>
  <si>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</si>
  <si>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¿Es efectivo el sistema de control interno para los objetivos evaluados? (Si/No) (Justifique su respuesta):</t>
  </si>
  <si>
    <t>Si</t>
  </si>
  <si>
    <t>La entidad cuenta dentro de su Sistema de Control Interno, con una institucionalidad (Líneas de defensa)  que le permita la toma de decisiones frente al control (Si/No) (Justifique su respuesta):</t>
  </si>
  <si>
    <t>¿El componente está presente y funcionando?</t>
  </si>
  <si>
    <t>Nivel de Cumplimiento componente</t>
  </si>
  <si>
    <r>
      <rPr>
        <b/>
        <u/>
        <sz val="20"/>
        <color theme="0"/>
        <rFont val="Humanst521 BT"/>
        <family val="2"/>
      </rPr>
      <t xml:space="preserve"> Estado actual:</t>
    </r>
    <r>
      <rPr>
        <b/>
        <sz val="20"/>
        <color theme="0"/>
        <rFont val="Humanst521 BT"/>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</si>
  <si>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</si>
  <si>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</si>
  <si>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</si>
  <si>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Evaluación de riesgos</t>
  </si>
  <si>
    <t>Actividades de control</t>
  </si>
  <si>
    <t>Información y comunicación</t>
  </si>
  <si>
    <t xml:space="preserve">Monitoreo </t>
  </si>
  <si>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</si>
  <si>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</si>
  <si>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</si>
  <si>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</si>
  <si>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</si>
  <si>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</si>
  <si>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</si>
  <si>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</si>
  <si>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</si>
  <si>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1.1</t>
  </si>
  <si>
    <t>Ambiente de Control</t>
  </si>
  <si>
    <t>La entidad demuestra el compromiso con la integridad (valores) y principios del servicio público</t>
  </si>
  <si>
    <t>Cuando en el análisis de los requerimientos en los diferenes componentes del MECI se cuente con aspectos evaluados en nivel 2 (presente) y 3 (funcionando).</t>
  </si>
  <si>
    <t>1.2</t>
  </si>
  <si>
    <t>Cuando en el análisis de los requerimientos en los diferenes componentes del MECI se cuente con aspectos evaluados en nivel 2 (presente) y 2 (funcionando); 3 (presente) y 1 (funcionando); 3 (presente) y 2 (funcionando).</t>
  </si>
  <si>
    <t>Deficiencia de control mayor</t>
  </si>
  <si>
    <t>1.3</t>
  </si>
  <si>
    <t>Cuando en el análisis de los requerimientos en los diferenes componentes del MECI se cuente con aspectos evaluados en nivel 1 (presente) y 1 (funcionando); 2 (presente) y 1 (funcionando).</t>
  </si>
  <si>
    <t>1.4</t>
  </si>
  <si>
    <t>1.5</t>
  </si>
  <si>
    <t>2.1</t>
  </si>
  <si>
    <t xml:space="preserve">Aplicación de mecanismos para ejercer una adecuada supervisión del Sistema de Control Interno </t>
  </si>
  <si>
    <t>2.2</t>
  </si>
  <si>
    <t>2.3</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</si>
  <si>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</si>
  <si>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</si>
  <si>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3.3</t>
  </si>
  <si>
    <t>3.2</t>
  </si>
  <si>
    <t>4.1</t>
  </si>
  <si>
    <t>Compromiso con la competencia de todo el personal, por lo que la gestión del talento humano tiene un carácter estratégico con el despliegue de actividades clave para todo el ciclo de vida del servidor público –ingreso, permanencia y retiro.</t>
  </si>
  <si>
    <t>4.2</t>
  </si>
  <si>
    <t>4.3</t>
  </si>
  <si>
    <t>4.4</t>
  </si>
  <si>
    <t>4.5</t>
  </si>
  <si>
    <t>4.6</t>
  </si>
  <si>
    <t>4.7</t>
  </si>
  <si>
    <t>5.1</t>
  </si>
  <si>
    <t>La entidad establece líneas de reporte dentro de la entidad para evaluar el funcionamiento del Sistema de Control Interno.</t>
  </si>
  <si>
    <t>5.2</t>
  </si>
  <si>
    <t>5.3</t>
  </si>
  <si>
    <t>5.4</t>
  </si>
  <si>
    <t>5.5</t>
  </si>
  <si>
    <t>5.6</t>
  </si>
  <si>
    <t>6.1</t>
  </si>
  <si>
    <t xml:space="preserve">Definición de objetivos con suficiente claridad para identificar y evaluar los riesgos relacionados: i)Estratégicos; ii)Operativos; iii)Legales y Presupuestales; iv)De Información Financiera y no Financiera.
</t>
  </si>
  <si>
    <t>6.2</t>
  </si>
  <si>
    <t>6.3</t>
  </si>
  <si>
    <t>7.1</t>
  </si>
  <si>
    <t xml:space="preserve">Identificación y análisis de riesgos (Analiza factores internos y externos; Implica a los niveles apropiados de la dirección; Determina cómo responder a los riesgos; Determina la importancia de los riesgos). </t>
  </si>
  <si>
    <t>7.2</t>
  </si>
  <si>
    <t>7.3</t>
  </si>
  <si>
    <t>7.4</t>
  </si>
  <si>
    <t>7.5</t>
  </si>
  <si>
    <t>8.1</t>
  </si>
  <si>
    <t xml:space="preserve">Evaluación del riesgo de fraude o corrupción. 
Cumplimiento artículo 73 de la Ley 1474 de 2011, relacionado con la prevención de los riesgos de corrupción.
</t>
  </si>
  <si>
    <t>8.2</t>
  </si>
  <si>
    <t>8.3</t>
  </si>
  <si>
    <t>8.4</t>
  </si>
  <si>
    <t>9.1</t>
  </si>
  <si>
    <t xml:space="preserve">Identificación y análisis de cambios significativos </t>
  </si>
  <si>
    <t>9.2</t>
  </si>
  <si>
    <t>9.3</t>
  </si>
  <si>
    <t>9.4</t>
  </si>
  <si>
    <t>9.5</t>
  </si>
  <si>
    <t>10.1</t>
  </si>
  <si>
    <t>Diseño y desarrollo de actividades de control (Integra el desarrollo de controles con la evaluación de riesgos; tiene en cuenta a qué nivel se aplican las actividades; facilita la segregación de funciones).</t>
  </si>
  <si>
    <t>10.2</t>
  </si>
  <si>
    <t>10.3</t>
  </si>
  <si>
    <t>11.1</t>
  </si>
  <si>
    <t>Seleccionar y Desarrolla controles generales sobre TI para apoyar la consecución de los objetivos .</t>
  </si>
  <si>
    <t>11.2</t>
  </si>
  <si>
    <t>11.3</t>
  </si>
  <si>
    <t>11.4</t>
  </si>
  <si>
    <t>12.1</t>
  </si>
  <si>
    <t>Despliegue de políticas y procedimientos (Establece responsabilidades sobre la ejecución de las políticas y procedimientos; Adopta medidas correctivas; Revisa las políticas y procedimientos).</t>
  </si>
  <si>
    <t>12.2</t>
  </si>
  <si>
    <t>12.3</t>
  </si>
  <si>
    <t>12.4</t>
  </si>
  <si>
    <t>12.5</t>
  </si>
  <si>
    <t>13.1</t>
  </si>
  <si>
    <t>Info y Comunicación</t>
  </si>
  <si>
    <t>Utilización de información relevante (Identifica requisitos de información; Capta fuentes de datos internas y externas; Procesa datos relevantes y los transforma en información).</t>
  </si>
  <si>
    <t>13.2</t>
  </si>
  <si>
    <t>13.3</t>
  </si>
  <si>
    <t>13.4</t>
  </si>
  <si>
    <t>14.1</t>
  </si>
  <si>
    <t>Comunicación Interna (Se comunica con el Comité Institucional de Coordinación de Control Interno o su equivalente; Facilita líneas de comunicación en todos los niveles; Selecciona el método de comunicación pertinente).</t>
  </si>
  <si>
    <t>14.2</t>
  </si>
  <si>
    <t>14.3</t>
  </si>
  <si>
    <t>14.4</t>
  </si>
  <si>
    <t>15.1</t>
  </si>
  <si>
    <t>Comunicación con el exterior (Se comunica con los grupos de valor y con terceros externos interesados; Facilita líneas de comunicación).</t>
  </si>
  <si>
    <t>15.2</t>
  </si>
  <si>
    <t>15.3</t>
  </si>
  <si>
    <t>15.4</t>
  </si>
  <si>
    <t>15.5</t>
  </si>
  <si>
    <t>15.6</t>
  </si>
  <si>
    <t>16.1</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</si>
  <si>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</si>
  <si>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</si>
  <si>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16.2</t>
  </si>
  <si>
    <t>16.3</t>
  </si>
  <si>
    <t>16.4</t>
  </si>
  <si>
    <t>16.5</t>
  </si>
  <si>
    <t xml:space="preserve">17.1 </t>
  </si>
  <si>
    <t>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</si>
  <si>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</si>
  <si>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</si>
  <si>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</si>
  <si>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</si>
  <si>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</si>
  <si>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</si>
  <si>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</si>
  <si>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</si>
  <si>
    <t xml:space="preserve">En Resolución 534 de 2022 se aprobó el Código de integridad de la Universidad
</t>
  </si>
  <si>
    <t>Desde la División de Tecnologías de la Información y de la Comunicación se tienen implementados en la UIS los siguientes aspectos:
  -Se cuenta con un esquema de seguridad usuario-rol en los sistemas de información institucionales.
- Se cuenta con restricción de datos por dominio de información en los sistemas de información institucionales.
- Los contratos de desarrollo y mantenimiento de software incluyen cláusula de confidencialidad.
- Se cuenta con un Mapa de riesgos de seguridad y privacidad de la información Institucional 
A través de la Dirección de Certificaciones y Gestión Documental se han implementado en la Universidad  dos Instrumentos Archivísticos con el fin de garantizar el derecho y las restricciones de acceso y seguridad a la información  de los documentos según los lineamientos de la Ley de Transparencia y también se creo el    Instructivo para la Consulta de Documentos de Archivo IGD.03</t>
  </si>
  <si>
    <t>Mediante Resolución de Rectoría 1674 de 2023 se aprobó la Política de Privacidad y Seguridad de la Información y se cuenta con un Manual para su implementación, liderada por la División de Tecnologías de la Información y la Comunicación.
En el marco del programa de Formación se llevó a cabo el 29 de mayo de 2024 la capacitación "Políticas de Seguridad y Privacidad de la Información (PSPI): Modulo 1. Tratamiento de Datos".
Adicionalmente, la Dirección de Certificación y Gestión Documental estableció instrumentos archivísticos los cuales han sido socializados a la comunidad Universitaria. 
Las necesidades específicas que surgen del tema archivístico se tratan en el Comité de Gestión y Desempeño Institucional al cual se adhirió el Comité de Gestión Documental.</t>
  </si>
  <si>
    <t>La Universidad cuenta con el Comité Institucional de Coordinación de Control Interno; mediante Resolución de Rectoría 269 de 2018 se actualizaron las funciones de este Comité.</t>
  </si>
  <si>
    <t>La Universidad continuamente realiza el seguimiento al plan de mejoramiento de Acreditación Institucional, Plan de Desarrollo Institucional, Programa de gestión, adopción del MIPG y Plan Rectoral, entre otros, como control frente a posibles incumplimientos, necesidades de recursos o cambios en el entorno.</t>
  </si>
  <si>
    <t xml:space="preserve">La Universidad a través de la División de Gestión de Talento Humano adelanta semestralmente la evaluación de desempeño del personal administrativo. </t>
  </si>
  <si>
    <t xml:space="preserve">Desde el subproceso de Seguridad y Salud en el Trabajo de la DGTH, se ejecuta y hace seguimiento  al Programa anual  de Seguridad y Salud en el Trabajo. </t>
  </si>
  <si>
    <t>A través de los indicadores del Sistema de Gestión de Calidad y de los indicadores de cumplimiento del plan de gestión relacionados con el programa de bienestar e incentivos y con el programa anual de SST, se realiza el seguimiento y evaluación de las actividades relacionadas con la permanencia de los funcionarios en la Universidad.</t>
  </si>
  <si>
    <t xml:space="preserve">La Universidad a través de la División de Gestión de Talento Humano y del subproceso de Asuntos Pensionales y Desarrollo Humano Organizacional ejecuta actividades como la denominada: "Pre-pensionados". </t>
  </si>
  <si>
    <t xml:space="preserve">Se cuenta con un acta de entrega de cargo, donde el funcionario desvinculado informa sobre el estado de sus inventarios, información, normativa, entre otros temas, a la cual le hace seguimiento Control Interno y Evaluación de Gestión. </t>
  </si>
  <si>
    <t xml:space="preserve">Desde el subproceso de Formación de Personal, se consolida el  Plan de Entrenamiento y Capacitación de Funcionarios Administrativo UIS, el cual se actualiza cada semestre, la evaluación correspondiente a la eficacia y eficiencia de dicho plan se realizan desde el Sistema de Gestión de Calidad  y los indicadores del plan de gestión anual. </t>
  </si>
  <si>
    <t>Semestralmente la División de Gestión de Talento Humano elabora el plan de entrenamiento y capacitación para los funcionarios de la UIS. El seguimiento se realiza a través indicadores que se encuentran formulados en el Sistema de gestión de calidad y a los cuales se hace seguimiento a través de los informes de desempeño requeridos por la coordinación de calidad.</t>
  </si>
  <si>
    <t>En el Sistema de gestión de calidad, proceso Dirección Institucional se cuenta con un Procedimiento de gestión del cambio por medio del cual se pueden identificar mejoras para los procesos y a su vez posibles riesgos que puedan afectar el cumplimiento de los objetivos.  
En el marco de la actualización de la metodología de administración de riesgos se planea continuar con el fortalecimiento de controles.</t>
  </si>
  <si>
    <t xml:space="preserve">La División de Gestión de Talento Humano realiza la convocatoria para que los jefes de las UAA realicen el reporte de conflicto de intereses a través del SIGEP, </t>
  </si>
  <si>
    <t xml:space="preserve">La Secretaría General emite acto administrativo designando a un funcionario ad hoc en los casos que se evidencia conflicto de intereses. </t>
  </si>
  <si>
    <t>Mediante la resolución 0533 de 2022 fue aprobado el Manual de Gestión de Conflictos de Interés, liderado por la División de Gestión de Talento Humano.
La Universidad acogiendo las disposiciones del DAFP a través del SIGEP adoptó el mecanismo de reporte de conflicto de interés, adicionalmente, cuando se identifica algún caso se emite acto administrativo.</t>
  </si>
  <si>
    <t xml:space="preserve">Acciones establecidas en el mapa de riesgos de corrupción relacionadas con la elaboración y divulgación del Código de integridad. </t>
  </si>
  <si>
    <t xml:space="preserve">Se creo el Comité Coordinador de Control Interno a través del Acuerdo del Consejo Superior (ACS) n° 70 del 2005;  mediante ACS n° 007 de 2018 se modificó el nombre a  Comité Institucional de Coordinación de Control Interno: en Resolución de rectoría n° 269 de 2018 se definen las funciones y la conformación del comité. </t>
  </si>
  <si>
    <t xml:space="preserve">En el Sistema de Gestión de Calidad, está publicada la Matriz de Roles, Responsabilidades y Autoridades, la cual incluye la estructura y responsabilidades de las líneas de defensa.
Adicionalmente se cuenta con la Matriz de Interacción de Información Institucional. 
La Universidad cuenta con diferentes estamentos (Consejo Superior, Consejo Académico, Consejos de Facultad, Consejos de Escuela, entre otros), también se cuenta con el Comité Institucional de Gestión y  Desempeño y el Comité de Coordinación de Control interno, en los cuales se tratan temas relacionados con el Modelo Integrado de Planeación y Gestión - MIPG y el Modelo Estándar de Control Interno - MECI. </t>
  </si>
  <si>
    <t>La Matriz de roles, responsabilidades y autoridades, que incluye el esquema de las líneas de defensa, está actualizada en el Sistema de Gestión de Calidad desde el 6 de mayo de 2024.</t>
  </si>
  <si>
    <t>La Universidad a través de la División de Gestión de Talento Humano realiza jornadas de formación en las que se comunican, entre otros temas, las responsabilidades del servidor público.</t>
  </si>
  <si>
    <t>Plan de Capacitación Institucional planteado para el área administrativa semestralmente .</t>
  </si>
  <si>
    <t xml:space="preserve"> La Universidad cuenta con un Estatuto y Reglamentación para la adquisición de bienes y servicios, y con diferentes formatos que facilitan el seguimiento de las etapas contractual y pos contractual. 
</t>
  </si>
  <si>
    <t xml:space="preserve">Las unidades verifican el cumplimento del objeto contratado a través del  Acta de finalización o recibo a satisfacción </t>
  </si>
  <si>
    <t>Al finalizar el contrato los supervisores realizan la evaluación del proveedor</t>
  </si>
  <si>
    <t>En el Sistema de gestión de calidad están publicadas la matriz de roles, responsabilidades y autoridades y la matriz de interacción institucional, las cuales contribuyen a identificar las diferentes actividades y reportes de cada uno de los procesos.</t>
  </si>
  <si>
    <t xml:space="preserve">La División Financiera permanentemente presenta reportes e informes a la Alta dirección como herramienta para la toma de decisiones.
Adicionalmente, se presentan los informes que requieren los entes externos para rendición.  </t>
  </si>
  <si>
    <t>Cada proceso evalúa e identifica si existen nuevos riesgos</t>
  </si>
  <si>
    <t>La Universidad cuenta con un procedimiento de gestión de cambio que permite identificar si existen nuevos riesgos y valorarlos e incluirlos en el mapa de riesgos, asimismo, se cuenta con el procedimiento de control de documentos internos.</t>
  </si>
  <si>
    <t>La entidad analiza los informes de auditorías y evaluación de autoridades académicas en el Comité Institucional de Coordinación de Control Interno. 
Presentación del informe de seguimiento al programa de gestión institucional  en el Consejo Académico y en el Consejo Superior.</t>
  </si>
  <si>
    <t xml:space="preserve">En el Sistema de Gestión de Calidad está publicada la Matriz Análisis de la Planeación Estratégica, la cual contempla la estructura de la planeación estratégica, la alineación entre la misión, visión, enfoques y objetivos estratégicos del PDI y el contexto. Adicionalmente, incluye la relación entre los objetivos del proceso y los del Plan de Desarrollo Institucional. </t>
  </si>
  <si>
    <t>Se cuenta con una batería de indicadores que mide el logro de los objetivos estratégicos planteados en el PDI y se realiza un seguimiento periódico a esta batería por parte de Planeación.
Los proyectos del programa de gestión tienen definidos indicadores o entregables que permiten medir su cumplimiento y se les hace un seguimiento semestral por parte de la Dirección de Control Interno y Evaluación de Gestión.  
Cada proceso cuenta con indicadores los cuales se reportan en el informe de desempeño a la Coordinación de Calidad, trimestralmente.</t>
  </si>
  <si>
    <t>Informe a Consejo Académico y a Consejo Superior del avance de los indicadores asociados a los objetivos estratégicos.</t>
  </si>
  <si>
    <t>Anualmente se presentan en la revisión por la dirección los resultados de los indicadores de los procesos.</t>
  </si>
  <si>
    <t xml:space="preserve">Semestralmente se hace seguimiento al avance de los indicadores de los proyectos del programa de gestión. </t>
  </si>
  <si>
    <t>Se presenta a las instancias: Consejo Académico y Consejo Superior el avance de los indicadores de los proyectos del programa de gestión.</t>
  </si>
  <si>
    <t>A través del seguimiento a los indicadores en Plan de Desarrollo Institucional y en Programa de Gestión, Planeación y la Alta Dirección definen las prioridades para la siguiente vigencia.</t>
  </si>
  <si>
    <t xml:space="preserve">Informe al Consejo Académico sobre la propuesta de prioridades antes de ser socializada a las Unidades Académico Administrativas. </t>
  </si>
  <si>
    <t xml:space="preserve">Se cuenta con el Manual para la Administración del Riesgo acorde con lineamientos de la Guía para la administración del riesgo y el diseño de controles en entidades
públicas emitida por el Departamento Administrativo de la Función Pública, aplica para todos los procesos de la universidad incluyendo las sedes regionales. </t>
  </si>
  <si>
    <t>Conforme con lo establecido en el Manual de Administración de Riesgos, periódicamente se hace seguimiento y se consolida un informe en donde se muestra el estado de la administración de riesgos en la universidad y se publica en la página web.</t>
  </si>
  <si>
    <t xml:space="preserve">Se realiza seguimiento periódico a la administración de riesgos incluyendo la gestión de cada proceso y al cumplimiento de la política. </t>
  </si>
  <si>
    <t>En el Comité de Coordinación de Control Interno y en la Revisión por la Dirección se reporta el seguimiento a la administración de riesgos. En el caso de presentarse eventualidades se establecen compromisos.</t>
  </si>
  <si>
    <t>En la Revisión por la dirección organizada por la Coordinación de Calidad se presentan los resultados del seguimiento a la gestión de riesgos.</t>
  </si>
  <si>
    <t>El manual de administración de riesgos define el tratamiento a seguir en caso de materialización de algún riesgo. 
En caso de presentarse la materialización de un riesgo se debe realizar un análisis y formular acciones correctivas según el procedimiento definido, con el fin de fortalecer los controles existentes o diseñar nuevos controles.</t>
  </si>
  <si>
    <t xml:space="preserve">Procedimiento y formato para las Acciones correctivas </t>
  </si>
  <si>
    <t xml:space="preserve">La Universidad cuenta con un mapa de riesgos  de corrupción identificados a partir del contexto, el cual aplica para todos los procesos. </t>
  </si>
  <si>
    <t xml:space="preserve">La universidad cuenta con un manual de funciones de los cargos establecidos en la estructura organizacional.
En los procedimientos se evidencia la interacción entre los cargos para la ejecución de las actividades como herramienta  de control de los procesos. </t>
  </si>
  <si>
    <t xml:space="preserve">Cada proceso tiene establecido un mapa de riesgos en el cual se formularon controles, con un responsable. 
Cada asignación de actividades está soportada en las funciones establecidas en el manual de funciones.
Se cuenta con segregación de funciones la cual se puede evidenciar en los procedimientos del Sistema de Gestión de Calidad. </t>
  </si>
  <si>
    <t xml:space="preserve">Periodicamente la Dirección de Control Interno y Evaluación de Gestión hace seguimiento a la administración de riesgos incluyendo la verificación al cumplimiento o fallas de los controles  y las acciones pertinentes para fortalecerlos. </t>
  </si>
  <si>
    <t>El manual de administración de riesgos define la revisión de contexto como herramienta de identificación de riesgos</t>
  </si>
  <si>
    <t xml:space="preserve">Periódicamente se realiza seguimiento a los mapas de riesgos por proceso, en donde los líderes identifican la necesidad de establecer nuevos riesgos o ajustar los existentes según el contexto.  </t>
  </si>
  <si>
    <t>En el manual de administración de riesgos se definió la metodologia de gestión de riesgos 
En el Estatuto de Contratación  y reglamentación para la adquisición de bienes y servicios se establece en el artículo 9 el análisis, valoración y mitigación de Riesgos.</t>
  </si>
  <si>
    <t>En el Comité de Coordinación de Control Interno se presentan los informes de auditoria de gestión del eje contratación y financiero</t>
  </si>
  <si>
    <t>Con base en los lineamientos establecidos en el Manual de administración de riesgos, periódicamente se realiza seguimiento a los mapas de riesgos en donde los líderes revisan sus niveles de aceptación acorde con la capacidad del proceso y las condiciones cambiantes del entorno.</t>
  </si>
  <si>
    <t>La Universidad cuenta con  documentos que consolidan las funciones y responsabilidades que tienen asignado cada uno de los cargos de la planta de personal</t>
  </si>
  <si>
    <t xml:space="preserve">Cada proceso tiene establecido un mapa de riesgos en el cual se tienen identificados riesgos y formulados los controles, estos últimos ejecutados por funcionarios asignados por el líder.
La asignación de responsabilidad de los controles está soportada en las funciones establecidas en el manual de funciones de los cargos de la estructura organizacional y en los procedimientos documentados en el Sistema de Gestión de Calidad. </t>
  </si>
  <si>
    <t>La Universidad cuenta el manual de funciones asociadas a los diferentes cargos establecidos en la estructura organizacional.
En el informe de desempeño del sistema de gestión integrado cada proceso identifica dificultades en el desarrollo de las actividades y cumplimiento de metas.</t>
  </si>
  <si>
    <t xml:space="preserve">La Universidad tiene implementados los Sistemas de gestión de calidad, Seguridad y salud en el trabajo y Gestión ambiental, los cuales integran la estructura de la institución. 
Se cuenta con documentación de cada proceso en donde se evidencia la interacción entre estos.  
La Universidad cuenta con una matriz en donde se muestra la articulación entre la planeación estratégica (PDI) y el Sistema de gestión de calidad. </t>
  </si>
  <si>
    <t xml:space="preserve">Se realizan auditorías internas a los procesos del sistema de gestión integrado. </t>
  </si>
  <si>
    <t xml:space="preserve">Revisión por la dirección anual para los sistemas de gestión de calidad y SST. </t>
  </si>
  <si>
    <t>La Institución tiene definidas actividades de control sobre las infraestructuras tecnológicas que son operadas desde la División de Mantenimiento Tecnológico y la División de Servicios de Información.</t>
  </si>
  <si>
    <t xml:space="preserve">Desde la División de Servicios de Información se hace: 
1. Supervisión a los contratos de suministro de tecnología, de acuerdo al estatuto de contratación y  revisión de las condiciones de contratación pactadas antes de la autorización de pagos.
2. Indicador de gestión disponibilidad del servicio, cuyo objetivo es medir la disponibilidad de servicio de los sistemas de información que soportan las actividades académico - administrativas (Servidores). 
3. Se realiza monitoreo a la disponibilidad del servicio de Internet. Existen acuerdos de niveles de servicio.
4. Se realiza la contratación externa de servicios de mantenimiento preventivo para algunos equipos críticos de la Universidad, dónde la División de Mantenimiento Tecnológico realiza la supervisión y evaluación al proveedor. </t>
  </si>
  <si>
    <t>Informes de supervisión y actas de pago parcial.</t>
  </si>
  <si>
    <t>Se evidencia a través de los listados del Sistema de Información de Recursos Humanos -SIRH y Sistema de Información Financiero-SIF, la asignación de roles y responsabilidades de la División de Gestión de Talento Humano
'-Se cuenta con un esquema de seguridad usuario-rol en los sistemas de información institucionales.
- Se cuenta con restricción de datos por dominio de información en los sistemas de información institucionales.DTIC</t>
  </si>
  <si>
    <t xml:space="preserve">Desde los sistemas de gestión de la Universidad: Calidad, Seguridad y Salud en el Trabajo y Ambiental, se han asignado roles a los funcionarios para el cumplimiento de lo establecido en cada uno de los Sistemas de gestión. </t>
  </si>
  <si>
    <t xml:space="preserve">De igual manera, para aquellos casos donde los funcionarios desempeñan un rol especifico como coordinaciones académicas, direcciones de programa de posgrado, representantes de la Universidad ante entes externos, direcciones de grupo de investigación entre otros; la asignación de estos roles  se realizan a través de un acto administrativo emitido por la Rectoría. </t>
  </si>
  <si>
    <t>Teniendo como base la estructura organizacional, dentro del Sistema de gestión de calidad se tienen definidos roles en los sistemas, con el fin de tener un control sobre la información y ejecución de actividades.</t>
  </si>
  <si>
    <t>Supervisión de contratos de soporte técnico a las TI (por parte de DTIC)</t>
  </si>
  <si>
    <t>Planificación y Evaluación Técnica para las adquisiciones de TI (DTIC)</t>
  </si>
  <si>
    <t>Al construir la Matriz de Riesgos cada proceso evalúa los controles establecidos y define nuevas acciones en caso de requerir su fortalecimiento.</t>
  </si>
  <si>
    <t xml:space="preserve">Periódicamente se realiza seguimiento a los mapas de riesgos por proceso, donde los líderes reportan el cumplimiento o fallas de los controles  y las acciones para fortalecerlos. </t>
  </si>
  <si>
    <t xml:space="preserve">Periodicamente la Dirección de Control Interno y Evaluación de Gestión hace seguimiento a la administración de riesgos, incluyendo la verificación el cumplimiento o fallas de los controles  y las acciones pertinentes para fortalecerlos. </t>
  </si>
  <si>
    <t>Se cuenta con el Manual para la  Administración del Riesgo que establece los lineamientos frente al monitoreo de los riesgos</t>
  </si>
  <si>
    <t>A través del seguimiento que realiza cada proceso a los riesgos que han identificado y el seguimiento realizado por la Dirección de Control Interno y Evaluación de Gestión se  hace monitoreo acorde a los lineamientos establecidos en el Manual para la Administración del Riesgo.</t>
  </si>
  <si>
    <t>Se cuenta con el Manual para la administración del riesgo que establece los lineamientos frente al  cumplimiento de los controles y acciones establecidas en los mapas de riesgos.</t>
  </si>
  <si>
    <t>En la metodología de administración del riesgo los controles son valorados, igualmente el riesgo despues de la aplicación del control (riesgo residual)</t>
  </si>
  <si>
    <t>Se cuenta con un inventario de activos de informacion actualizado disponible en página web</t>
  </si>
  <si>
    <t>La Universidad cuenta con un inventario de activos de información actualizado
La Dirección de Certificación y Gestión Documental cuenta con un Instrumento Archivístico que refleja todas las series y subseries de la Universidad condensado en las Tablas de Retención Documental y también los Inventarios Documentales que condensa la documentación física transferida al Archivo Central. GD</t>
  </si>
  <si>
    <t xml:space="preserve">La Universidad cuenta con un inventario de activos de información actualizado y con tablas de retención en permanente revisión. </t>
  </si>
  <si>
    <t>Gestión documental. Se implementaron Instrumentos Archivísticos con el fin de garantizar el derecho y las restricciones de acceso y seguridad a la información de los documentos según los lineamientos de la Ley de Transparencia y también se creó el    Instructivo para la Consulta de Archivos  
División de Gestión de tecnologías de la información y la comunicación 
'1. Se cuenta con un plan de tratamiento de riesgos para los activos de información digital que corresponden a las actividades de misión crítica.
2. Los sistemas de información cuentan con módulos de auditoría, que permiten reconstruir la información original y todos sus movimientos.
3. Los sistemas utilizan nivel de disposición de la información, según rol, usuario y dominio de la información.
4. La universidad cuenta con un data center principal y otro secundario, para mantener los sistemas de información activos en todo momento, además de redundancia de información en disco, contingencias en firewall y DNS y configuración de alta disponibilidad de los servidores de aplicaciones.</t>
  </si>
  <si>
    <t>El acceso al archivo físico de historias labores esta limitado a los funcionarios de archivo y a los líderes de cada subproceso, quienes pueden acceder a los documentos solo en lo pertinente a sus actividades</t>
  </si>
  <si>
    <t xml:space="preserve">El acceso a la información del Sistema de Información de Recursos Humanos, SIRH es limitado a cada funcionario, por lo que existen diferentes perfiles de acceso al  SIRH.  </t>
  </si>
  <si>
    <t xml:space="preserve">La consulta de archivos de la historia laboral de los funcionarios se realiza bajo el control de la Division de Gestión de Talento Humano, y solo en los casos contemplados por la ley se accede a la información contenida en dichas carpetas. </t>
  </si>
  <si>
    <t xml:space="preserve">Tablas de auditoría implementadas en los SI.
</t>
  </si>
  <si>
    <t>Los objetivos y metas estratégicas del Plan de Desarrollo Institucional se despliegan a través de la formulación de programas y proyectos por las unidades académico -administrativas, formulación anual que lidera Planeación</t>
  </si>
  <si>
    <t xml:space="preserve">La Universidad se encuentra en la implementación del Modelo de Seguridad y Privacidad de la Información - MSPI. 
La Dirección de Certificación y Gestión Documental cuenta con el Instrumento Archivístico  Programa de Gestión Documental donde refleja la matriz de responsabilidades de la información y la gestión documental </t>
  </si>
  <si>
    <t xml:space="preserve">Se cuenta con un aplicativo de PQRSDR en la página web institucional en donde los ciudadanos puede formular o dar a conocer cualquier situación irregular, los cuales son tratados por las diferentes Unidades Académico Administrativas. </t>
  </si>
  <si>
    <t>Informe estadístico y de análisis trimestral de  las solicitudes de PQRSDR</t>
  </si>
  <si>
    <t xml:space="preserve">La Institución cuenta con un aplicativo de PQRSDR en la página web institucional en el que los ciudadanos pueden dar a conocer cualquier situación irregular, asuntos que son tratados por las diferentes Unidades Académico Administrativas. </t>
  </si>
  <si>
    <t>Se reciben solicitudes de cubrimientos de eventos a través del correo electrónico de la Dirección de Comunicaciones UIS</t>
  </si>
  <si>
    <t xml:space="preserve">Por medio del Manual de Comunicación interna y externa se establecen las directrices y parámetros que permitan orientar y gestionar adecuadamente el accionar comunicativo e informativo de la Universidad Industrial de Santander con sus públicos internos y externos a través de los medios institucionales de comunicación masiva y las plataformas digitales.  
La Dirección de Certificación y Gestión documental cuenta con Instructivo y procedimientos aplicables a los usuarios externos. </t>
  </si>
  <si>
    <t>Instructivo para la Consulta de Documentos de Archivo</t>
  </si>
  <si>
    <t>Actualización de notas periodísticas de interés externo en el portal web institucional www.uis.edu.co</t>
  </si>
  <si>
    <t>Se cuenta con diferentes canales de comunicación como canal Zoom, Canal regional, redes sociales. 
La Dirección de Certificación y Gestión Documental cuenta con los servicios de correo para la trazabilidad de las comunicaciones externas.</t>
  </si>
  <si>
    <t>La Dirección de Certificación y Gestión Documental cuenta con el procedimiento de Correspondencia Recibida, donde se da a conocer el paso a  paso de de las comunicaciones que entran a la Universidad.</t>
  </si>
  <si>
    <t>La Dirección de Certificación y Gestión Documental cuenta con el procedimiento de Correspondencia Recibida, donde da a conocer el paso a paso de las comunicaciones que entran a la Universidad.</t>
  </si>
  <si>
    <t xml:space="preserve">Planes de Mejoramiento derivados de auditorías de entes de control. </t>
  </si>
  <si>
    <t>Direccionamiento de llamadas recibidas por la línea gratuita de atención al ciudadano</t>
  </si>
  <si>
    <t xml:space="preserve">Seguimiento a las acciones de mejora y planes de las acciones correctivas de auditorías internas de calidad y reporte en la revisión por la dirección. </t>
  </si>
  <si>
    <t xml:space="preserve">Diligenciamiento del formato de acciones correctivas y ejecución de las acciones formuladas. </t>
  </si>
  <si>
    <t xml:space="preserve">Recolección de la información para la medición de indicadores de Plan de desarrollo, anual. Informe de avance disponible en página web institucional. </t>
  </si>
  <si>
    <t>Anualmente se publica en página web el Plan Estratégico para la vigencia, dando cumplimiento al Decreto 612 de 2018.</t>
  </si>
  <si>
    <t>La Universidad cuenta con un Estatuto de Contratación y procedimientos en el Sistema de Gestión de Calidad para la adquisición de bienes y servicios en los cuales se establecen los lineamientos para la evaluación frente a los productos y servicios, esta labor es verificada a través de informes de supervisión.</t>
  </si>
  <si>
    <t>Anualmente se recopila y procesa información que reportan las unidades para verificar el avance de los indicadores asociados a los objetivos estratégicos del Plan de Desarrollo Institucional, este informe se publica anual en la página web institucional</t>
  </si>
  <si>
    <t>El informe de avance de indicadores de Plan estratégico, se presenta en Consejo Académico y Consejo Superior.</t>
  </si>
  <si>
    <t xml:space="preserve">Se construye matriz de priorización por parte de Planeación, con base en los resultados de los indicadores y otros compromisos institucionales, para la formulación de proyectos en programa de gestión.  </t>
  </si>
  <si>
    <t>Actualización de Matriz de roles, responsabilidades y autoridades</t>
  </si>
  <si>
    <t>La Dirección de Control Interno y Evaluación de Gestión es la unidad que realiza el seguimiento a la gestión de los riesgos por proceso y de corrupción tal como está establecido en el Manual para la Administración del Riesgo. El consolidado del seguimiento se publica en página web.</t>
  </si>
  <si>
    <t>Semestralmente  se hace seguimiento por la DCIEG a la administración de riesgos incluyendo la gestión de cada proceso, el cumplimiento de la política y la posible materialización de riesgos.</t>
  </si>
  <si>
    <t>Semestral se hace seguimiento a la administración de riesgos incluyendo la gestión de cada proceso, el cumplimiento de la política y la posible materialización de riesgos</t>
  </si>
  <si>
    <t xml:space="preserve">La Institución tiene establecido un procedimiento y un formato para la Gestión del Cambio, en donde se identifican las consecuencias  o necesidades relacionadas con personal, recursos, procesos, servicios, documentación , entre otros, así como el plan de acción para gestionar el cambio. </t>
  </si>
  <si>
    <t>Cada proceso puede reportar en el informe de desempeño las dificultades en el desarrollo de las actividades y el cumplimiento de metas</t>
  </si>
  <si>
    <t xml:space="preserve">La Dirección de Control Interno y Evalución de Gestión realiza auditorias internas al eje de infraestructura y tecnología, el cual incluye temas de Tecnologías de la Información.  </t>
  </si>
  <si>
    <t xml:space="preserve">Participación de la Dirección de Control Interno y Evaluación de Gestión en las convocatorias públicas incluyendo la adquisición de servició de TI. </t>
  </si>
  <si>
    <t xml:space="preserve">Con la actualización del Manual de Administración de riesgos se generaron cambios en el diseño de controles, una vez se actualicen los mapas se evalúan los controles formulados para evitar la materialización del riesgo. </t>
  </si>
  <si>
    <t xml:space="preserve">La Universidad cuenta con diferentes canales de comunicación interna como la página web institucional, correos institucionales, redes sociales, radio, comunicaciones escritas que permiten dar a conocer información de interés para la comunidad universitaria incluyendo objetivos y metas de la planeación estratégica. </t>
  </si>
  <si>
    <t xml:space="preserve">Planeación elabora un instructivo del Proceso de Programación Anual para las UAA, lo socializa en el Consejo Académico, Consejos de Facultad y del IPRED y lo difunde a toda la comunidad universitaria a través del correo electrónico. Adicionalmente, se dispone para su consulta en la página web, junto con los documentos que sirven de soporte al proceso. </t>
  </si>
  <si>
    <t>Se comunica a las UAA a través de correo electrónico la disponibilidad de los documentos aprobados de programación presuestal y Programa de Gestión, tambien en la página web.</t>
  </si>
  <si>
    <t>El Modelo de Seguridad y Privacidad de la Información fue aprobado mediante Resolución 1674 de 14 de noviembere de 2023</t>
  </si>
  <si>
    <t>Se cuenta con un proceso de Comunicación Institucional en el Sistema de Gestión de Calidad, liderado por la Dirección de Comunicaciones, que cuenta con un Manual de Comunicaciones Internas y Externas, donde se establecen las directrices y parámetros que orientan el accionar comunicativo e informativo de la Universidad Industrial de Santander, a través de los medios institucionales de comunicación masiva y las plataformas digitales.
Igualmente, la Dirección de Certificación y Gestión Documental lidera el proceso de Gestión documental del Sistema de Gestión de Calidad y  tiene implementado el Programa de Gestión Documental.</t>
  </si>
  <si>
    <t>16.1 El Comité Institucional de Coordinación de Control Interno aprueba anualmente el Programa Anual de Auditoría presentado por el Director de Control Interno.</t>
  </si>
  <si>
    <t xml:space="preserve">Anualmente la Dirección de Control Interno y Evaluación de Gestión presenta para aprobación al Comité Institucional de Coordinación de Control Interno el programa anual de auditoría el cual contempla: Auditorías internas de gestión, auditorías internas de calidad, informes a entes de control externo, seguimientos, asesorías y acompañamiento. </t>
  </si>
  <si>
    <t xml:space="preserve">La alta dirección analiza los informes de auditorías y evaluación de autoridades académicas en el Comité Institucional de Coordinación de Control Interno. 
Presentación del informe de seguimiento al programa de gestión institucional en el Consejo Académico, que junto con el programa de unidad se publica en página web institucional. </t>
  </si>
  <si>
    <t>Desde la DCIEG se analizan los informes de auditorías y se presentan en el Comité Institucional de Coordinación de Control Interno. 
Adicionalmente, se presenta el informe de seguimiento al programa de gestión institucional en el Consejo Académico.</t>
  </si>
  <si>
    <t xml:space="preserve">A través de las auditorías se revisa la efectividad de los controles establecidos por los procesos. 
Se realiza seguimiento a los mapas de riesgos en donde se verifica el cumplimiento de los controles y parámetros establecidos en la matriz. </t>
  </si>
  <si>
    <t xml:space="preserve">Seguimiento de mapas de riesgos de gestión de todos los procesos. </t>
  </si>
  <si>
    <t xml:space="preserve">Con base en el programa anual de auditorías a través de las auditorías se revisa la efectividad de los controles establecidos por los procesos. 
Adicionalmente, se realiza seguimiento a los mapas de riesgos en donde se verifica el cumplimiento de los controles y parámetros establecidos en la matriz. </t>
  </si>
  <si>
    <t>Consolidación, revisión y presentación de las propuestas de programa de gestión ante el Consejo Académico.</t>
  </si>
  <si>
    <t xml:space="preserve">Se realiza seguimiento del Plan de Desarrollo Institucional -PDI a través de la batería de indicadores la cual se presenta al Consejo Superior para su revisión. </t>
  </si>
  <si>
    <t xml:space="preserve">La Vicerrectoría Académica a través de la coordinación de calidad académica realiza seguimiento a los planes de mejoramiento de acreditación de programas e institucional. 
Planeación realiza seguimiento a los indicadores del Plan de Desarrollo Institucional. 
La DCIEG realiza seguimiento del programa anual de gestión institucional y de unidades. 
</t>
  </si>
  <si>
    <t xml:space="preserve">La  Vicerrectoría Académica a través de la Coordinación de calidad académica realiza seguimiento a los planes de mejoramiento de acreditación de programas e institucional. 
Planeación realiza seguimiento a los indicadores del Plan de Desarrollo Institucional. 
La DCIEG realiza seguimiento del programa anual de gestión institucional y de unidades. 
</t>
  </si>
  <si>
    <t>enero de 2024</t>
  </si>
  <si>
    <t>Diciembre de 2024</t>
  </si>
  <si>
    <t xml:space="preserve">En el Plan de acción institucional de MIPG 2024, la División de Gestión de Talento Humano planteó actividades como encuestas y actividades pedagógicas para la apropiación del código de integridad por los funcionarios. </t>
  </si>
  <si>
    <t>Continuar con la implementación de Código de Integridad</t>
  </si>
  <si>
    <t>% de avance
I sem</t>
  </si>
  <si>
    <t xml:space="preserve">La Universidad actualizó el Manual para la Administración del Riesgo-MSE.01, aprobado mediante Resolución 126 de 31 de enero de 2024. Se cuenta también con un nuevo formato de mapa de riesgos FSE 18 y se adelantan talleres dirigidos por funcionarios de Control Interno y Evaluación de Gestión para entrenar en la nueva metodología a lideres y facilitadores de los procesos. </t>
  </si>
  <si>
    <t>7.1 Revisar y actualizar la política y metodología de Administración de riesgos de la universidad conforme a la versión 3 de la Guía para la Administración del Riesgo de Gestión y Corrupción y Diseño de Controles en Entidades Públicas (DAFP), ISO 31000  y los lineamientos de la ISO 9001:2015, -	Formular los mapas de riesgo de gestión de todos los procesos (29) en la nueva metodología.</t>
  </si>
  <si>
    <t xml:space="preserve">La Universidad actualizó el Manual para la Administración del Riesgo-MSE.01, aprobado mediante Resolución 126 de 31 de enero de 2024. Se cuenta también con un nuevo formato de mapa de riesgos FSE 18 y se adelantan talleres dirigidos por funcionarios de Control Interno y Evaluación de Gestión para entrenar en la nueva metodología a lideres y facilitadores de los procesos. Continuar con la implementacion de el Modelo de Seguridad y Privacidad de la información. </t>
  </si>
  <si>
    <t xml:space="preserve">Continuar con la implementación del Modelo de Seguridad y Privacidad de la Información - MSPI. </t>
  </si>
  <si>
    <t>La División de Gestión de Talento Humano informa a los jefes de las UAA las indicaciones para realizar el reporte de conflicto de interés, a través, de la página del SIGEP y del seguimiento a esta actividad.
Por su parte Secretaría General es la unidad encargada de tramitar el acto administrativo de asignación de ad hoc en los casos que se evidencia conflicto de intereses. 
En el Plan de capacitación de personal se incluyen actividades relacionadas con el manejo de conflicto de interés.</t>
  </si>
  <si>
    <t>La Matriz de roles, responsabilidades y autoridades, que incluye esquema de las líneas de defensa, fue actualizada en el Sistema de Gestión de Calidad el 6 de mayo de 2024.</t>
  </si>
  <si>
    <t>Planeación realiza seguimiento al Plan de Desarrollo Institucional, a través de indicadores, avance que es presentado en diferentes instancias. 
También se realiza periódicamente seguimiento al programa anual de auditorías y se socializa en el Comité de Coordinación de Control Interno. 
Se cuenta con el Comité Institucional de Gestión y Desempeño en el cual se revisan temas de MIPG, propios de la gestión institucional.</t>
  </si>
  <si>
    <t xml:space="preserve">Periódicamente la Dirección de Control Interno y Evaluación de Gestión presenta el avance de las auditorías en el Comité Institucional de Coordinación de Control Interno. Adicionalmente, se socializan otras actividades realizadas por la unidad y en caso de presentarse oportunidades de mejora se hace seguimiento.
Igualmente, anual se presenta la Revisión por la dirección del Sistema de Gestión de calidad, a cargo de la Coordinación de Calidad. </t>
  </si>
  <si>
    <t xml:space="preserve">En el Sistema de Gestión de Calidad, proceso Direccion Institucional, está publicada la Matriz de Análisis de la Planeación Estratégica la cual muestra la correlación entre los objetivos del Plan de Desarrollo Institucional y los objetivos de los procesos. </t>
  </si>
  <si>
    <t xml:space="preserve">Se realiza seguimiento al Plan de Desarrollo Institucional, a través de indicadores; por parte de Planeación 
Adicionalmente, el programa de gestión tiene definidos indicadores o entregables a los cuales se hace seguimiento por parte de la Dirección de Control Interno y Evaluación de Gestión. 
Así mismo, en el marco del Sistema de Gestión de Calidad cada proceso tiene definidos sus indicadores los cuales reporta a la Coordinación de Calidad con una periodicidad trimestral, para consolidar en el informe de desempeño. </t>
  </si>
  <si>
    <t>Los procesos reportan a la Dirección de Control Interno y Evaluación de Gestión si se presentó materialización de riesgos y las acciones emprendidas. 
Los resultados del seguimiento son socializados en el Comité de Coordinación de Control Interno y en la Revisión por la Dirección.</t>
  </si>
  <si>
    <t xml:space="preserve">En caso de materialización de riesgos cada líder de proceso debe actuar conforme a lo establecido en el Manual de Administración de Riesgos, lo cual incluye la formulación de acciones correctivas para fortalecer los controles, adicionalmente, realizar la actualización del mapa de riesgos y reporte a la Dirección de Control Interno y Evaluación de Gestión. </t>
  </si>
  <si>
    <t xml:space="preserve">La Universidad a cuenta con un Estatuto de Contratación y reglamentación para la adquisición de bienes y servicios, que en el artículo 9, establece los lineamientos para el análisis de riesgos en actividades contractuales. </t>
  </si>
  <si>
    <t xml:space="preserve">La Universidad actualizó la metodología de administración de riesgos en la cual cada proceso al elaborar la Matriz de Riesgos diseña los controles, los mapas se encuentran en elaboración con la nueva metodología.  Están publicados 24 mapas de riesgo de procesos formulados con la nueva metodología, pendiente de entrega mapa de riesgos de Recursos Tecnológicos, mapa riesgos fiscales y mapa de riesgos digitales en nueva metodología.
</t>
  </si>
  <si>
    <t>Se cuenta con lineamientos establecidos por la Dirección de Comunicaciones y la Dirección de Gestión Documental, que orientan el accionar comunicativo e informativo.</t>
  </si>
  <si>
    <t>La Dirección de Comunicaciones, que lidera el proceso de comunicación institucional cuenta con un Manual de Comunicaciones Internas y Externas donde se establecen las directrices que orientan el accionar comunicativo e informativo de la Universidad Industrial de Santander, adicionalmente, la Dirección de Certificación y Gestión Documental cuenta con Instructivos y procedimientos aplicables a los usuarios.</t>
  </si>
  <si>
    <t>Se cuenta con diferentes canales de comunicación como Zoom, Canal regional, redes sociales y página web. 
La Dirección de Certificación y Gestión Documental cuenta con los servicios de correo para la trazabilidad de las comunicaciones externas</t>
  </si>
  <si>
    <t xml:space="preserve">Periódicamente se actualiza la matriz de grupos de interés que relaciona las necesidades y expectativas, medios de interacción y priorización de personas o grupos de personas con interés en la Institución. </t>
  </si>
  <si>
    <t>Periódicamente y según los cambios del entorno institucional se actualiza la matriz de grupos de interés que relaciona las necesidades y expectativas, medios de interacción y priorización de personas o grupos de personas con interés en la Institución.</t>
  </si>
  <si>
    <t>Anualmente la DCIEG presenta para aprobacion ante el Comité Institucional de Control Interno, el Plan Anual de Auditorías el cual contempla todas las actividades desarrolladas por esta unidad, en los cinco roles de la Oficina. 
Adicionalmente, presenta los resultados del seguimiento.</t>
  </si>
  <si>
    <t>La Universidad a través de Planeación  cuenta con procedimientos de Programación Presupuestal y de Gestión, Elaboración del POAI, Formulación y viabilización de proyectos de inversión en el BPPIUIS y pautas para la  formulación del Plan de Desarrollo Institucional, así como para el seguimiento.</t>
  </si>
  <si>
    <t xml:space="preserve">
Una vez realizadas las verificaciones o auditorías de entes externos se realiza la formulación de acciones en Planes de Mejoramiento para los casos que aplique.</t>
  </si>
  <si>
    <t>La Universidad cuenta con varias instancias donde se pueden reportar las deficiencias del control interno. 
Adicionalmente, se cuenta con la Matriz de Roles, Responsabilidades y Autoridades, en donde la tercera línea de defensa, Control Interno y Evaluación de Gestión tiene la responsabilidad de "Reportar las deficiencias de control interno al Comité Institucional de Coordinación de Control Interno".
Periódicamente y según los cambios del entorno se actualiza la matriz de grupos de interés que relaciona las necesidades y expectativas, medios de interacción y priorización de personas o grupos de personas con interés en la Institución.</t>
  </si>
  <si>
    <t>En caso de presentarse situaciones que ameriten acciones correctivas, éstas son formuladas y ejecutadas por los líderes o jefes de unidad. 
Los planes de acción o corrección formulados por los procesos son socializados y analizados en la revisión por la dirección y en el marco del Comité de Coordinación de Control Interno.</t>
  </si>
  <si>
    <t>La Universidad cuenta con un Estatuto y Reglamentación para la adquisición de bienes y servicios (Acuerdo del Consejo Superior No. 079 de 2019), para la contratación, ejecución, finalización y liquidación de contratos por servicios de aseo y vigilancia (tercerizados).
El supervisor de los contratos de aseo y vigilancia y los responsables de planta física de las sedes, realizan evaluación mensual de estos servicios.</t>
  </si>
  <si>
    <t xml:space="preserve">
La DCIEG como administrador del sistema de PQRS direcciona los requerimientos recibidos a las unidades a cargo, a su vez, trimestralmente elabora un informe estadístico de análisis de PQRSDR el cual publica en la página web institucional.</t>
  </si>
  <si>
    <t xml:space="preserve">En la universidad la DCIEG realiza seguimiento a los planes de acción o corrección derivados de auditorías internas de gestión. 
La coordinación de calidad realiza seguimiento a las acciones de mejora y acciones correctivas de auditorías internas de calidad. 
La DCIEG realiza seguimiento a los planes de mejoramiento derivados de auditorias de entes de control. </t>
  </si>
  <si>
    <t>En caso de presentarse situaciones que ameriten acciones correctivas, éstas son formuladas y ejecutadas por los líderes o jefes de unidad. (Estas pueden ser reportadas a través de auditorías internas, comunicaciones, correos, sistema de PQRSDR, otros)
Se cuenta con la Matriz de Roles, Responsabilidades y Autoridades, en donde la tercera línea de defensa tiene la responsabilidad de reportar las deficiencias de control interno como resultado del monitoreo continuo al Comité Institucional de Coordinación de Control Interno.</t>
  </si>
  <si>
    <t>ARTICULO 9 DE LA LEY
1474 DE 2011 MODIFICADO POR EL ARTICULO 156 DEL DECRETO LEY 2106 DE 2019</t>
  </si>
  <si>
    <t>% avance segundo semestre de 2024</t>
  </si>
  <si>
    <t xml:space="preserve">Plan estratégico 2025 publicado en: https://uis.edu.co/uis-transparencia-planes-estrategicos-es/
</t>
  </si>
  <si>
    <t>En el 2024, las actividades "Jubilarse sanamente" se llevaron a cabo del 18 al 22 de noviembre de 2024.</t>
  </si>
  <si>
    <t xml:space="preserve">Se realizó la actualización de la matriz de roles, responsabilidades y autoridades incluyendo las Líneas de Defensa del Modelo Integrado de Planeación y Gestión el 26 de mayo de 2024 en la Intranet. </t>
  </si>
  <si>
    <t xml:space="preserve">Periodicamente se presenta al Comité de Coordinación de Control Interno, el avance de las actividades del Programa Anual de Auditorías. </t>
  </si>
  <si>
    <t xml:space="preserve">Se cuenta con 29 mapas de riesgos, incluidos cuatro (4) sedes. Pendiente un proceso, un mapa de riesgos fiscales y riesgos digitales en nueva metodología. </t>
  </si>
  <si>
    <t xml:space="preserve">Se cuenta con un formato de gestión del cambio FDI01 en donde se planean estas situaciones y se plantean las posibles consecuencias e involucrados. </t>
  </si>
  <si>
    <t xml:space="preserve">La Dirección de Control Interno y Evaluación de Gestión anualmente formula el programa de auditorías y periódicamente hace seguimiento al cumplimiento de las actividades allí establecidas, la formulación y el avance se presentan en el Comité Insitucional de Coordinación de Control Interno. </t>
  </si>
  <si>
    <t xml:space="preserve">Elaboración y socialización del Informe de autoridades académicas. </t>
  </si>
  <si>
    <t xml:space="preserve">Se actualizaron el Manual para la Administración del Riesgo y la Matriz de roles, responsabilidades y autoridades en 2024, en esta última se incluyó el esquema de las líneas de defensa. </t>
  </si>
  <si>
    <t>Cada líder de proceso hace seguimiento al mapa de riesgos en el cual se valoran los riesgos y se formulan controles. 
Adicionalmente, se realizan auditorías y un seguimiento periódico por parte de la Dirección de Control Interno y Evaluación de Gestión, en donde se verifica el cumplimiento de estos controles. 
Con el fin de fortalecer la formulación y valoración de controles la universidad desarrolló una nueva metodología que fortalece la metodología de Administración del Riesgo, se está en la etapa de formulación de los mapas de riesgos de los procesos en la nueva metodología.  Están publicados 29 mapas de riesgo de procesos formulados con la nueva metodología, pendiente de entrega mapa de riesgos de proceso Recursos Tecnológicos, mapa riesgos fiscales y mapa de riesgos digitales en nueva metodología.</t>
  </si>
  <si>
    <t>En la metodología establecida en el Manual de Administración de Riesgos se tiene definido que para la actualización del mapa de riesgos cada proceso debe analizar el contexto interno y externo con el fin de identificar posibles nuevos riesgos o causas que puedan llevar a materializar alguno de los ya identificados.</t>
  </si>
  <si>
    <t xml:space="preserve">La Universidad tiene implementados los sistemas de gestión de calidad, seguridad y salud en el trabajo y gestión ambiental. 
Cada sistema tiene personal a cargo. El Sistema de gestión de calidad cuenta con un coordinador y facilitadores por proceso. </t>
  </si>
  <si>
    <t xml:space="preserve">Se recomienda continuar con el seguimiento para la implementación de todos los mapas de riesgo en la nueva metodología. </t>
  </si>
  <si>
    <t xml:space="preserve">Mediante Resolución de Rectoría 1674 de 2023 se aprobó la Política de Privacidad y Seguridad de la Información y se cuenta con un Manual para su implementación, política liderada por la División de Tecnologías de la Información y la Comunicación. Se recomienda continuar con la implementación. </t>
  </si>
  <si>
    <t xml:space="preserve">La Universidad Industrial de Santander realizó un análisis de conveniencia frente a la implementación del Modelo Integrado de Planeación y Gestión-MIPG y aunque no es aplicable en su integridad ha sido adaptado a la dinámica institucional y se ha identificado como una herramienta de gestión valiosa para el mejoramiento continuo. 
Actualmente los cinco componentes del Modelo Estándar de Control Interno MECI se encuentran operando de manera integrada junto con el Plan de Desarrollo Institucional (PDI), Proyecto Institucional (PI), Plan de Mejoramiento Acreditación Institucional, Sistemas de Gestión, MIPG, Plan Rectoral y otros objetivos trazados por la Alta Dirección en atención a la función misional. </t>
  </si>
  <si>
    <t xml:space="preserve">La Universidad cuenta con un Manual de Gestión Integrado en donde se tienen definidas las responsabilidades y niveles de autoridad frente al sistema de gestión de calidad y es una guia para establecer la planificación, operación y el control de los procesos. Adicionalmente en el Manual para la Administración del Riesgo y  en la matriz de roles, responsabilidades y autoridades se definieron los roles y responsabilidades de las líneas de defensa frente a los riesgos y  en  las políticas del MIPG.
Tambien se cuenta con un manual de funciones, que permite identificar las responsabilidades en cada cargo.
</t>
  </si>
  <si>
    <t>La Universidad cuenta la División de Gestión de Talento Humano que lidera el  Plan Estratégico de Talento Humano 2025,  el cual  es objeto de auditoría anual por parte de la Dirección de Control Interno y Evaluación de Gestión.</t>
  </si>
  <si>
    <t>La Universidad a través de la División de Gestión del Talento Humano cuenta con procedimientos para la selección y vinculación de personal, así como para su inducción y reinducción periódica. Igualmente se elaboró un Plan Estratégico de Talento Humano 2025, al cual se le realiza seguimiento anual</t>
  </si>
  <si>
    <t xml:space="preserve">La universidad a través de la División de Gestión del Talento Humano tiene establecidos a través de procedimientos actividades relacionadas con el Ingreso del personal y adicionalmente construyó el Plan Estratégico de Talento Humano el cual contiene los lineamientos de MIPG. Este documento adicionalmente contempla en el numeral 7 algunos planeas tácticos como es el caso del Plan de Vacantes. 
 </t>
  </si>
  <si>
    <t xml:space="preserve">Como instrumento de seguimiento al Talento Humano se cuenta con la evaluación de desempeño (Reglamento Personal Administrativo (Art. 185 – 194) (Acuerdo Consejo Superior 074 de 1980). Cuando se presenta un puntaje igual o inferior a 69 en la evaluación de desempeño, se debe hacer plan de mejoramiento individual, según el procedimiento para evaluación administrativa a empleados públicos y trabajadores oficiales PTH.42 del proceso Talento Humano. </t>
  </si>
  <si>
    <t xml:space="preserve">A través del plan de formación ejecutado por la División de Gestión de Talento Humano se promueven jornadas de entrenamiento relacionadas con la  responsabilidad de cada servidor sobre el desarrollo y mantenimiento del control interno. 
En estas jornadas participan los jefes de diferentes unidades como Control Interno Disciplinario, Jurídica y Dirección de Control interno y Evaluación de Gestión.  Anualmente se formula un programa de autocontrol con actividades para recordar las responsabilidades  en el desarrollo y mantenimiento del control interno. </t>
  </si>
  <si>
    <t>La Universidad  a través de División de Gestión de Talento Humano y de los subprocesos Asuntos Pensionales y Desarrollo Humano Organizacional desarrollan actividades que contribuyen al acompañamiento de los funcionarios próximos a retirarse de la institución. 
Se evidencia la necesidad de mantener estas actividades, incluidas en el Plan estratégico de Talento Humano 2025.</t>
  </si>
  <si>
    <t xml:space="preserve">La Universidad, a través, de la División de Gestión de Talento Humano formula el plan semestral de formación;esta División cuenta con el subproceso de Formación de Personal que apoya en la ejecución de este plan. </t>
  </si>
  <si>
    <t>La Universidad cuenta con el Plan de Desarrollo Institucional al cual Planeación le realiza seguimiento. 
Adicionalmente, se hace seguimiento al Programa de Gestión de cada vigencia desde la Dirección de Control Interno y Evaluación de Gestión, con el fin de validar el avance y el cumplimiento de los proyectos que apoyan el cumplimiento de los objetivos establecidos en el PDI.</t>
  </si>
  <si>
    <t xml:space="preserve">Periódicamente se realiza seguimiento a los mapas de riesgos por proceso, los líderes reportan el cumplimiento de los controles, el avance de las acciones y la materialización de riesgos en caso de presentarse.   </t>
  </si>
  <si>
    <t xml:space="preserve">Periódicamente se realiza seguimiento a los mapas de riesgos por proceso en donde  se infomra de la ejecución de controles, el avance de las acciones y la materialización de riesgos en caso de presentarse.   </t>
  </si>
  <si>
    <t xml:space="preserve">Periódicamente se realiza seguimiento a los mapas de riesgos por proceso, donde los líderes reportan la ejecución de controles, el avance de las acciones y la materialización de riesgos en caso de presentarse.   </t>
  </si>
  <si>
    <t>Procedimiento para Seguimiento a mapas de riesgos PSE.10, en el proceso Seguimiento Institucional</t>
  </si>
  <si>
    <t xml:space="preserve">Pendiente la formulación de riesgos de corrupción en nueva metodología de Administración de riesgos </t>
  </si>
  <si>
    <t xml:space="preserve">Periódicamente se realiza seguimiento a los mapas de riesgos por proceso, donde los líderes reportan el cumplimiento o fallas de los controles  y las acciones pertinentes para fortalecerlos. </t>
  </si>
  <si>
    <t xml:space="preserve">Semestralmente la Dirección de Control Interno y Evaluación de Gestión hace seguimiento a la administración de riesgos incluyendo la verificación el cumplimiento o fallas de los controles  y las acciones pertinentes para fortalecerlos. </t>
  </si>
  <si>
    <t>Cada líder de proceso hace seguimiento al mapa de riesgos en el cual se identifican y valoran riesgos y controles.  
Adicionalmente se realizan auditorías y seguimiento periódico por la Dirección de Control Interno y Evaluación de Gestión en donde se verifica el cumplimiento de estos controles. 
La información se consolida en el informe de seguimiento que es presentado en el Comité de Coordinación de Control Interno y en la Revisión por la dirección.</t>
  </si>
  <si>
    <t xml:space="preserve">En el Sistema de gestión de calidad se estableció un procedimiento de gestión del cambio en el cual se identifican las consecuencias o necesidades relacionadas con personal, recursos, procesos, servicios, documentación, entre otros, así como el plan de acción para gestionar el cambio. </t>
  </si>
  <si>
    <t>La DGTH es la responsable de la actualización y publicación de estos manuales,  la ultima actualización se realizó en diciembre de 2022</t>
  </si>
  <si>
    <t xml:space="preserve">Cada proceso tiene establecido un mapa de riesgos en el cual se tienen identificados riesgos y formulados los controles, estos últimos con un responsable.
La asignación de responsabilidad de los controles está soportada en las funciones establecidas en el manual de funciones de los cargos de la estructura organizacional y en los procedimientos documentados en el Sistema de Gestión de Calidad. </t>
  </si>
  <si>
    <t xml:space="preserve">Permanentemente se realiza actualización de la documentación del Sistema de Gestión de Calidad. </t>
  </si>
  <si>
    <t xml:space="preserve">Desde la División de Servicios de Información se tienen definidos los siguientes controles: 
1. Se realiza monitoreo continuo a la red LAN institucional a través de software especializado.
2. Se cuenta con un esquema de seguridad perimetral marca Checkpoint, con dos equipos Firewall en el campus principal y un equipo firewall para cada una de las sedes regionales.
3. Para las adquisiciones de equipos de TI y licencias por parte de las UAA's, el procedimiento de contratación exige concepto técnico emitido por la División de Servicios de Información.
4. Se cuenta con procedimientos y estándares definidos para el desarrollo y mantenimiento de software.
La División de Mantenimiento Tecnológico establece un plan de mantenimiento preventivo dónde se incluyen los equipos críticos de las Unidades Académico Administrativas consolidado en el Plan anual de Mantenimiento Preventivo publicado en la Intranet; de igual forma, se establece la Guía para el uso del Sistema de Mantenimiento Tecnológico - SIMAT Mantenimiento tecnológico  
 La Universidad cuenta con un Estatuto y Reglamentación para la adquisición de bienes y servicios, y con diferentes formatos que facilitan el seguimiento de las etapas contractual y pos contractual. </t>
  </si>
  <si>
    <t>Desde la División de Tecnologías de la Información y la Comunicación se realiza la verificación, seguimiento y supervisión de los contratos de suministro de tecnología. Adicionalmente, se realiza seguimiento a través de indicadores de desempeño y un monitoreo de disponibilidad del servicio.</t>
  </si>
  <si>
    <t xml:space="preserve">Dentro del plan anual de auditorías 2025 se incluyó un seguimiento a 	
Gestión de la Información, activos de la información y Seguridad de la Información 
</t>
  </si>
  <si>
    <t xml:space="preserve">Semestral la Dirección de Control Interno y Evaluación de Gestión hace seguimiento a la administración de riesgos en donde se  verifica el cumplimiento o fallas de los controles  y las acciones pertinentes para fortalecerlos. </t>
  </si>
  <si>
    <t>A través del seguimiento que realiza cada proceso a los riesgos que han identificado y las auditorías y el seguimiento realizado por la Dirección de Control Interno y Evaluación de Gestión se verifica la ejecución de los controles que se formularon en cada uno de los riesgos.</t>
  </si>
  <si>
    <t xml:space="preserve">Desde la Dirección de Comunicaciones se realizan informes de gestión los cuales involucran la medición de la efectividad de los canales de comunicación tanto para el público interno como externo. Se cuenta también con un Informe mensual del Engagement de las redes sociales.
</t>
  </si>
  <si>
    <t xml:space="preserve">Para la institución es importante considerar la percepción de entes externos como es el caso de: Entes de control externo (Contraloría General de Santander, Contraloría General de la República, Procuraduría General de la Nación), entes de vigilancia y control (Ministerio de Educación Nacional) y entes certificadores (ICONTEC, ONAC, IDEAM, CDMB).   </t>
  </si>
  <si>
    <t xml:space="preserve">En la Institución se tiene establecido que a partir de la evaluación de los resultados de las auditorías internas las unidades formulan planes de acción o corrección, a los cuales se les hace seguimiento desde DCIEG y se verifica su eficacia. </t>
  </si>
  <si>
    <t xml:space="preserve">La DCIEG realiza seguimiento a los planes de acción o corrección derivados de auditorías internas de gestión. 
La Coordinación de calidad realiza seguimiento a las acciones de mejora y planes de las acciones correctivas de auditorías internas de calidad. 
La DCIEG realiza seguimiento a los planes de mejoramiento derivados de auditorias de entes de control. </t>
  </si>
  <si>
    <r>
      <t>S</t>
    </r>
    <r>
      <rPr>
        <sz val="11"/>
        <color theme="5"/>
        <rFont val="Arial Narrow"/>
        <family val="2"/>
      </rPr>
      <t>e cuenta con una línea telefónica direccionada a la Oficina de Control Interno Disciplinari</t>
    </r>
    <r>
      <rPr>
        <sz val="11"/>
        <rFont val="Arial Narrow"/>
        <family val="2"/>
      </rPr>
      <t>o para realizar denuncias de situaciones irregulares o posibles incumplimientos a los principios y valores de los funcionarios. 
Se cuenta con el módulo de PQRDSR en donde se pueden hacer denuncias con relación al Código de Integridad UIS.
El Manual de Atención al Ciudadano contempla información sobre normativa y protocolos de los diferentes canales de atención a la comunidad universitaria y a la ciudadanía en general.</t>
    </r>
  </si>
  <si>
    <t xml:space="preserve">La Universidad cuenta con un Manual para la Administración del Riesgo el cual tiene establecidos los niveles de aceptación del riesgo por parte de la Alta Dirección frente a la política de Administración del Riesgo. </t>
  </si>
  <si>
    <t>La Universidad actualizó el Manual para la Administración del Riesgo-MSE.01, aprobado mediante Resolución 126 de 31 de enero de 2024. 
Se cuenta también con un nuevo formato de mapa de riesgos FSE 18, se realizaron talleres dirigidos por funcionarios de Control Interno y Evaluación de Gestión para entrenar en la nueva metodología a lideres y facilitadores de los procesos. 
Están publicados 24 mapas de riesgo de procesos formulados con la nueva metodología, pendiente de entrega mapa de riesgos de Recursos Tecnológicos, mapa riesgos fiscales y mapa de riesgos digitales en nueva metodología.</t>
  </si>
  <si>
    <t>Cuatrimestralmente se realiza seguimiento al mapa de riesgos de corrupción en donde se tiene establecida una acción relacionada con la adopción y divulgación del Código de Integridad por parte de la División de Gestión de Talento Humano.
Se ha realizado divulgación del código de integridad, en 2024 se realizaron jornadas en todas las sedes de la Universidad y se han enviado capsulas informativas por correo institucional con temas como procedimiento y sanciones, identificación y declaración y definiciones y manual.
En 2025 se planteó una estrategia para la divulgación del código</t>
  </si>
  <si>
    <t xml:space="preserve">En 2025 se formuló el plan de transición del programa de Transparencia y ética pública, en el que se formularon como actividades Revisar y actualizar los riesgos de corrupción con lo dispuesto en el Manual de Riesgos, Actualizar el Manual de Administración del riesgo respecto al componente de riesgos para la integridad pública y riesgos  LA/FT/PT e identificar los riesgos de integridad y LA/FT/FP.
Cuatrimestralmente la Dirección de Control Interno y Evaluación de Gestión hace seguimiento a este plan de transición y al mapa de corrupción vigente. 
</t>
  </si>
  <si>
    <t>Seguimiento al plan de transición del programa de Transparencia y ética pública</t>
  </si>
  <si>
    <t xml:space="preserve">La División de Gestión de Talento Humano en caso de recibir denuncias de posibles incumplimientos a los principios y valores de los funcionarios, los puede direccionar a la unidad correspondiente de dar tratamiento. </t>
  </si>
  <si>
    <t xml:space="preserve">La Dirección de Control interno y Evaluación de Gestión revisa el modulo PQRDSR y las diferentes situaciones se direccionan a la unidad correspondiente de dar tratamiento. </t>
  </si>
  <si>
    <t>La Universidad cuenta con mecanismos para realizar denuncias, entre los que se encuentran: Comunicación directa con la Oficina de Control Interno Disciplinario y el Sistema de PQRDSR.  Este último presenta entre los motivos de las denuncias, incumplimiento al Código de Integridad UIS.</t>
  </si>
  <si>
    <t>La universidad actualizó el Manual para la Administración del Riesgo-MSE.01, aprobado mediante Resolución 126 de 31 de enero de 2024. 
Se cuenta también con un nuevo formato de mapa de riesgos FSE 18, se realizaron talleres dirigidos por funcionarios de Control Interno y Evaluación de Gestión para entrenar en la nueva metodología a lideres y facilitadores de los procesos. 
Están publicados 29 mapas de riesgo, que incluyen las cuatro (4) sedes, formulados con la nueva metodología, pendiente de entrega mapa de riesgos de proceso Recursos Tecnológicos, mapa riesgos fiscales y mapa de riesgos digitales en la nueva metodología. Se realiza seguimiento semestral a la gestion del riesgo en la Universidad.
Pendiente actualizar el Manual de Administración del riesgo respecto al componente de riesgos para la integridad pública y riesgos  LA/FT/PT</t>
  </si>
  <si>
    <t xml:space="preserve">La Universidad cuenta con la División de Gestión de Talento Humano y se tienen establecidos lineamientos a través de acuerdos, resoluciones, manuales, procedimiento, entre otros documentos, para la adecuada gestión del personal.
Esta unidad formula anualmente un Plan estratégico. </t>
  </si>
  <si>
    <t>Se identificaron los riesgos de corrupción aplicables a todos los procesos, en el mapa se establecieron controles y actividades a los cuales se les hace seguimiento cuatrimestral desde la Dirección de Control Interno y Evaluación de Gestión.  En 2025 se formuló el plan de transición del programa de Transparencia y ética pública, en el que se formularon como actividades Revisar y actualizar los riesgos de corrupción con lo dispuesto en el Manual de Riesgos, Actualizar el Manual de Administración del riesgo respecto al componente de riesgos para la integridad pública y riesgos  LA/FT/PT e identificar los riesgos de integridad y LA/FT/FP.</t>
  </si>
  <si>
    <t>Cuatrimestralmente la Dirección de Control Interno y Evaluación de Gestión realiza seguimiento al mapa de riesgos de corrupción. 
En 2025 se formuló el plan de transición del programa de Transparencia y ética pública, en el que se formularon como actividades Revisar y actualizar los riesgos de corrupción con lo dispuesto en el Manual de Riesgos, Actualizar el Manual de Administración del riesgo respecto al componente de riesgos para la integridad pública y riesgos  LA/FT/PT e identificar los riesgos de integridad y LA/FT/FP.</t>
  </si>
  <si>
    <t xml:space="preserve">Teniendo como base la estructura organizacional, dentro del Sistema de gestión de calidad se tienen definidos roles en los sistemas, con el fin de tener un control sobre la información y ejecución de actividades.
Definir los indicadores para medir la eficiencia y eficacia de la implementación del Manual de Seguridad y Privacidad de la información en la entidad.
</t>
  </si>
  <si>
    <t xml:space="preserve">La Universidad está implementando el Modelo de Seguridad y Privacidad de la Información - MSPI. 
</t>
  </si>
  <si>
    <t xml:space="preserve">Fortalezas:
Se hace seguimiento a los mapas de riesgo dos veces por año por parte de la Dirección de Control Interno y Evaluación de Gestión, seguimientos publicados en: https://uis.edu.co/uis-control-gestion-administracion-riesgos-es/
Como instrumento de seguimiento al Talento Humano se cuenta con la evaluación de desempeño (Reglamento Personal Administrativo Art. 185 – 194, Acuerdo Consejo Superior 074 de 1980). Cuando se presenta un puntaje igual o inferior a 69 en la evaluación de desempeño, el funcionario deberá hacer plan de mejoramiento individual, según el procedimiento para evaluación administrativa a empleados públicos y trabajadores oficiales PTH.42 del proceso Talento Humano. 
Aspectos por Mejorar: 
Continuar con la divulgación por parte de la División de Gestión de Talento Humano, del Código de Integridad UIS y evaluar su apropiación por parte del personal. 
Actualizar el Manual de Administración del riesgo respecto al componente de riesgos para la integridad pública y riesgos  LA/FT/PT e identificar los riesgos de integridad y LA/FT/FP.
Formular mapa de riesgos de proceso Recursos Tecnológicos, mapa riesgos fiscales y mapa de riesgos digitales en la nueva metodología. </t>
  </si>
  <si>
    <t>Fortalezas:
La Universidad actualizó la matriz de roles y responsabilidades, incluyendo el modelo de las líneas de defensa que también aplica a las sedes regionales. 
La Universidad cuenta con un sistema de información para el seguimiento a los proyectos institucionales y de unidad donde se reportan los de las actividades formuladas.
Se realiza periódicamente el seguimiento a la administración de riesgos incluyendo la gestión de procesos, el avance de las acciones y la posible materialización de riesgos.
Una vez se materializa un riesgo se solicita el reporte con la actualización del mapa de riesgo del proceso. 
Se realiza seguimiento periódico a las acciones correctivas de los procesos y las acciones de mejora producto de las auditorías internas y externas.
Aspectos por Mejorar: 
Actualizar el Manual de Administración del riesgo respecto al componente de riesgos para la integridad pública y riesgos LA/FT/PT e identificar los riesgos de integridad y LA/FT/FP.
Formular los mapas de riesgos de Recursos Tecnológicos, mapa riesgos fiscales y mapa de riesgos digitales en nueva metodología.</t>
  </si>
  <si>
    <t xml:space="preserve">Fortalezas:
Cada proceso cuenta con un mapa de riesgos en el cual se tienen identificados riesgos y formulados los controles, estos últimos con cuentan con un responsable de ejecución.  La asignación de actividades a los funcionarios se realiza según el manual de funciones. Se cuenta con segregación de funciones, la cual se puede evidenciar en los procedimientos del Sistema de Gestión de Calidad. 
La Institución tiene definidas actividades de control sobre las infraestructuras tecnológicas que son operadas desde la División de Mantenimiento Tecnológico y la División de Servicios de Información.
Desde la División de Tecnologías de la Información y la Comunicación se realiza la verificación, seguimiento y supervisión de los contratos de suministro de tecnología. 
La Universidad actualizó la metodología de administración de riesgos, los mapas de gestión están publicados en la Intranet.  
Aspectos por Mejorar: 
Definir los indicadores para medir la eficiencia y eficacia de la implementación del Manual de Seguridad y Privacidad de la información en la entidad.
Continuar con la evaluación de los controles, teniendo en cuenta la implementación de la nueva metodología de administración de riesgos en 2024. </t>
  </si>
  <si>
    <t>La Institución cuenta con más de 30 sistemas de información hechos a la medida de sus necesidades de las UAA, los cuales le permiten obtener la información requerida para el desarrollo de los procesos misionales y de apoyo.</t>
  </si>
  <si>
    <t xml:space="preserve">Desde la División de tecnologías de la información y la comunicación y la Dirección de certificación y Gestión documental la universidad ha  realizado acciones para garantizar la integridad, confidencialidad y disponibilidad de los datos e información. 
Se encuentra pendiente establecer acciones en el marco del modelo de gobierno de datos de la UIS
</t>
  </si>
  <si>
    <t>% de avance primer 2024</t>
  </si>
  <si>
    <t xml:space="preserve">En el 2025 se han realizado actividades de formación en el Código de integridad . Se recomienda continuar con la evaluación de aplicación del Código. 
</t>
  </si>
  <si>
    <t xml:space="preserve">
Las Auditorias de seguridad de la información se incluye en el programa anual de 2025. Se recomienda continuar con la implementacion de la Política. </t>
  </si>
  <si>
    <t>Enero-junio de 2025</t>
  </si>
  <si>
    <t xml:space="preserve">
Fortalezas:
Anualmente la Dirección de Control Interno y Evaluación de Gestión presenta para aprobación al Comité Institucional de Coordinación de Control Interno, el programa anual de auditoría el cual incluye: Auditorías internas de gestión, auditorías internas de calidad, informes a entes de control externo, seguimientos, asesorías y acompañamiento. Semestralmente, la Dirección de Control Interno y Evaluación de Gestión presenta el informe de seguimiento al programa de gestión institucional en el Consejo Académico.
La universidad recibe evaluaciones externas por parte de: Entes de control (Contraloría General de Santander, Contraloría General de la República, Procuraduría General de la Nación), entes de vigilancia y control (Ministerio de Educación Nacional), ente certificador (ICONTEC, ONAC, IDEAM).   
A partir de la evaluación de los resultados de las auditorías internas las unidades formulan planes de acción o corrección, a los cuales se les hace seguimiento por parte de la DCIEG.
La DCIEG como administrador del sistema de PQRS direcciona los requerimientos que se presentan y elabora y publica en página web institucional un informe estadístico de análisis de PQRSDR, trimestral. 
La Vicerrectoría Académica a través de la Coordinación de calidad académica realiza seguimiento a los planes de mejoramiento de acreditación de programas e institucional. 
Aspectos por mejorar:
No se formularon aspectos por mejorar</t>
  </si>
  <si>
    <t>Fortalezas:
La Institución cuenta con sistemas de información según los requerimientos de las unidades administrativas y académicas, los cuales permiten procesar la información requerida para el desarrollo de los procesos misionales y de apoyo. 
Se cuenta con un aplicativo de PQRSDR en la página web institucional en donde los ciudadanos puede formular cualquier situación irregular, las cuales son tratados por las diferentes Unidades Académico Administrativas. Se cuenta con un proceso de Comunicación Institucional en el Sistema de Gestión de Calidad, liderado por la Dirección de Comunicaciones, que cuenta con un Manual de Comunicaciones Internas y Externas. La Dirección de Certificación y Gestión Documental lidera el proceso de Gestión documental del Sistema de Gestión de Calidad y tiene implementado el Programa de Gestión Documental.
Se cuenta con un proceso de Comunicación Institucional en el Sistema de Gestión de Calidad, liderado por la Dirección de Comunicaciones, que estableció el Manual de Comunicaciones Internas y Externas, donde están las directrices y parámetros que orientan el accionar comunicativo e informativo de la Universidad Industrial de Santander, a través de los medios institucionales y las plataformas digitales.
Aspectos por Mejorar: 
Continuar con la implementación del Modelo de Seguridad y Privacidad de la Información como herramienta que contribuye a la identificación de los niveles de autoridad y responsabilidad en materia de seguridad y privacidad de la información. 
Establecer acciones en el marco del modelo de gobierno de datos de la UIS</t>
  </si>
  <si>
    <t xml:space="preserve">Fortalezas:
Se hace seguimiento a los mapas de riesgo dos veces por año por parte de la Dirección de Control Interno y Evaluación de Gestión, seguimientos publicados en: https://uis.edu.co/uis-control-gestion-administracion-riesgos-es/ Como instrumento de seguimiento al Talento Humano se cuenta con la evaluación de desempeño (Reglamento Personal Administrativo (Art. 185 – 194) (Acuerdo Consejo Superior 074 de 1980). Cuando se presenta un puntaje igual o inferior a 69 en la evaluación de desempeño, se deberá hacer plan de mejoramiento individual, según el procedimiento para evaluación administrativa a empleados públicos y trabajadores oficiales PTH.42 del proceso Talento Humano. 
Aspectos por Mejorar: 
Continuar con la divulgación por parte de la División de Gestión de Talento Humano, del Código de Integridad UIS y evaluar su apropiación por parte del personal. En el 2024 se han realizado actividades de formación en el Código de integridad para las sedes dirigidas a todos los funcionarios, en las cuales se aplicaron encuestas al inicio y posterior, con el fin de medir la apropiación de los funcionarios en este tema. Se recomienda continuar con la evaluación de apropiación del Código. 
Continuar con la implementación de la nueva metodología de administración del riesgo, estableciendo los mapas en el nuevo formato o herramienta. </t>
  </si>
  <si>
    <t>Fortalezas:
La Universidad actualizó la matriz de roles y responsabilidades, incluyendo el modelo de las líneas de defensa que también aplica a las sedes regionales. 
La Universidad cuenta con un sistema de información para el seguimiento a los proyectos institucionales y de unidad donde se reportan los de las actividades formuladas. Se realiza periódicamente el seguimiento a la administración de riesgos incluyendo la gestión de procesos, el avance de las acciones y la posible materialización de riesgos.
Una vez se materializa un riesgo se solicita el reporte con la actualización del mapa de riesgo del proceso. 
Se realiza seguimiento periódico a las acciones correctivas de los procesos y las acciones de mejora producto de las auditorías internas y externas.
Aspectos por Mejorar: 
Están publicados 29 mapas de riesgo de procesos formulados con la nueva metodología, pendiente de entrega mapa de riesgos de Recursos Tecnológicos, mapa riesgos fiscales y mapa de riesgos digitales en nueva metodología.</t>
  </si>
  <si>
    <t xml:space="preserve">Fortalezas:
Cada proceso cuenta con un mapa de riesgos en el cual se tienen identificados riesgos y formulados los controles, estos últimos con cuentan con un responsable de ejecución.  La asignación de actividades a los funcionarios está soportada en las funciones establecidas en el manual de funciones. Se cuenta con segregación de funciones la cual se puede evidenciar en los procedimientos del Sistema de Gestión de Calidad. La Institución tiene definidas actividades de control sobre las infraestructuras tecnológicas que son operadas desde la División de Mantenimiento Tecnológico y la División de Servicios de Información.
Desde la División de Tecnologías de la Información y la Comunicación se realiza la verificación, seguimiento y supervisión de los contratos de suministro de tecnología. Dentro del plan anual de auditorías 2024 se programaron seguimientos a Gobierno Digital y Seguridad. La Universidad actualizó la metodología de administración de riesgos en la cual cada proceso al elabora la Matriz de Riesgos diseña los controles, los mapas de gestión se encuentran publicados en la Intranet.  
Aspectos por Mejorar: 
Formular los mapas de riesgo de gestión de todos los procesos y las sedes regionales (4) en la nueva metodología. A 17 de octubre de 2024 se tienen 28, por lo cual se estima un avance de 90% en esta actividad. Están pendiente de entrega los mapas de Recursos Tecnológicos, fiscales y digitales. 
Definir los indicadores para medir la eficiencia y eficacia de la implementación del Manual de Seguridad y Privacidad de la información en la entidad.
Realizar un diagnóstico para implementar un sistema de gestión de la calidad de la información, lineamientos de la norma ISO 27001 y continuar con la implementación de esta norma. </t>
  </si>
  <si>
    <t xml:space="preserve">
Fortalezas:
Anualmente la Dirección de Control Interno y Evaluación de Gestión presenta para aprobación al Comité Institucional de Coordinación de Control Interno, el programa anual de auditoría el cual incluye: Auditorías internas de gestión, auditorías internas de calidad, informes a entes de control externo, seguimientos, asesorías y acompañamiento. Semestralmente, la Dirección de Control Interno y Evaluación de Gestión presenta el informe de seguimiento al programa de gestión institucional en el Consejo Académico.
La universidad recibe evaluaciones externas por parte de: Entes de control (Contraloría General de Santander, Contraloría General de la República, Procuraduría General de la Nación), entes de vigilancia y control (Ministerio de Educación Nacional), ente certificador (ICONTEC, ONAC, IDEAM).   
A partir de la evaluación de los resultados de las auditorías internas las unidades formulan planes de acción o corrección, a los cuales se les hace seguimiento por parte de la DCIEG.
La DCIEG como administrador del sistema de PQRS direcciona los requerimientos que se presentan y elabora y publica en página web institucional un informe estadístico de análisis de PQRSDR, trimestral. 
La Vicerrectoría Académica a través de la Coordinación de calidad académica realiza seguimiento a los planes de mejoramiento de acreditación de programas e institucional. 
Aspectos por mejorar:
No se formularon aspectos por mejorar</t>
  </si>
  <si>
    <t>Fortalezas:
La Institución cuenta con sistemas de información según los requerimientos de las unidades administrativa y académicas, los cuales permiten obtener la información requerida para el desarrollo de los procesos misionales y de apoyo. 
Se cuenta con un aplicativo de PQRSDR en la página web institucional en donde los ciudadanos puede formular cualquier situación irregular, las cuales son tratados por las diferentes Unidades Académico Administrativas. Se cuenta con un proceso de Comunicación Institucional en el Sistema de Gestión de Calidad, liderado por la Dirección de Comunicaciones, que cuenta con un Manual de Comunicaciones Internas y Externas. La Dirección de Certificación y Gestión Documental lidera el proceso de Gestión documental del Sistema de Gestión de Calidad y tiene implementado el Programa de Gestión Documental. Se cuenta con un proceso de Comunicación Institucional en el Sistema de Gestión de Calidad, liderado por la Dirección de Comunicaciones, que estableció el Manual de Comunicaciones Internas y Externas, donde están las directrices y parámetros que orientan el accionar comunicativo e informativo de la Universidad Industrial de Santander, a través de los medios institucionales de comunicación masiva y las plataformas digitales.
Aspectos por Mejorar: 
Implementación del Modelo de Seguridad y Privacidad de la Información como herramienta que contribuye a la identificación de los niveles de autoridad y responsabilidad en materia de seguridad y privacidad de la información. 
Establecer acciones en el marco del modelo de gobierno de datos de la UIS
Identificar la necesidad de tecnología y/o medios faciliten la comunicación y la publicación de información para personas con discapacidad.</t>
  </si>
  <si>
    <t>El Sistema de control interno adoptado por la universidad cumple con los objetivos evaluados, atendiendo lo indicado en el Decreto 648 de 2017 expedido por el Departamento Administrativo de la Función Pública, específicamente en: artículo 2.2.21.3.1: “Sistema Institucional de Control Interno. El Sistema Institucional de Control Interno estará integrado por el esquema de controles de la organización, la gestión de riesgos, la administración de la información y de los recursos y por el conjunto de planes, métodos, principios, normas, procedimientos, y mecanismos de verificación y evaluación adoptados por la entidad, dentro de las políticas trazadas por la dirección y en atención a las metas, resultados u objetivos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</si>
</sst>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dd/mm/yyyy;@"/>
    <numFmt numFmtId="165" formatCode="0.000"/>
    <numFmt numFmtId="166" formatCode="0.0000"/>
    <numFmt numFmtId="167" formatCode="0.00000"/>
    <numFmt numFmtId="168" formatCode="0.000000"/>
  </numFmts>
  <fonts count="88">
    <font>
      <sz val="10"/>
      <color theme="1"/>
      <name val="Arial"/>
      <family val="2"/>
    </font>
    <font>
      <b/>
      <sz val="10"/>
      <color indexed="18"/>
      <name val="Arial"/>
      <family val="2"/>
    </font>
    <font>
      <u/>
      <sz val="10"/>
      <color theme="10"/>
      <name val="Arial"/>
      <family val="2"/>
    </font>
    <font>
      <sz val="10"/>
      <name val="Arial"/>
      <family val="2"/>
    </font>
    <font>
      <sz val="10"/>
      <color theme="1"/>
      <name val="Calibri"/>
      <family val="2"/>
      <scheme val="minor"/>
    </font>
    <font>
      <sz val="12"/>
      <name val="Times New Roman"/>
      <family val="1"/>
    </font>
    <font>
      <sz val="10"/>
      <name val="Arial Narrow"/>
      <family val="2"/>
    </font>
    <font>
      <b/>
      <sz val="14"/>
      <name val="Arial Narrow"/>
      <family val="2"/>
    </font>
    <font>
      <b/>
      <u/>
      <sz val="11"/>
      <name val="Arial Narrow"/>
      <family val="2"/>
    </font>
    <font>
      <b/>
      <sz val="10"/>
      <name val="Arial Narrow"/>
      <family val="2"/>
    </font>
    <font>
      <b/>
      <sz val="11"/>
      <name val="Arial Narrow"/>
      <family val="2"/>
    </font>
    <font>
      <b/>
      <sz val="9"/>
      <name val="Arial Narrow"/>
      <family val="2"/>
    </font>
    <font>
      <b/>
      <i/>
      <u/>
      <sz val="9"/>
      <name val="Arial Narrow"/>
      <family val="2"/>
    </font>
    <font>
      <sz val="9"/>
      <name val="Arial Narrow"/>
      <family val="2"/>
    </font>
    <font>
      <sz val="11"/>
      <name val="Arial Narrow"/>
      <family val="2"/>
    </font>
    <font>
      <sz val="12"/>
      <color theme="1" tint="0.34998626667073579"/>
      <name val="Arial Narrow"/>
      <family val="2"/>
    </font>
    <font>
      <sz val="11"/>
      <color theme="1"/>
      <name val="Arial Narrow"/>
      <family val="2"/>
    </font>
    <font>
      <b/>
      <sz val="11"/>
      <color theme="1"/>
      <name val="Arial Narrow"/>
      <family val="2"/>
    </font>
    <font>
      <u/>
      <sz val="11"/>
      <color theme="10"/>
      <name val="Arial Narrow"/>
      <family val="2"/>
    </font>
    <font>
      <b/>
      <sz val="11"/>
      <color theme="0"/>
      <name val="Arial Narrow"/>
      <family val="2"/>
    </font>
    <font>
      <sz val="11"/>
      <color theme="0"/>
      <name val="Arial Narrow"/>
      <family val="2"/>
    </font>
    <font>
      <b/>
      <u/>
      <sz val="11"/>
      <color theme="0"/>
      <name val="Arial Narrow"/>
      <family val="2"/>
    </font>
    <font>
      <i/>
      <sz val="11"/>
      <color theme="0"/>
      <name val="Arial Narrow"/>
      <family val="2"/>
    </font>
    <font>
      <b/>
      <sz val="11"/>
      <color theme="1" tint="0.249977111117893"/>
      <name val="Arial Narrow"/>
      <family val="2"/>
    </font>
    <font>
      <b/>
      <sz val="10"/>
      <color theme="1"/>
      <name val="Arial Narrow"/>
      <family val="2"/>
    </font>
    <font>
      <sz val="10"/>
      <color theme="1"/>
      <name val="Arial Narrow"/>
      <family val="2"/>
    </font>
    <font>
      <b/>
      <i/>
      <sz val="10"/>
      <color theme="1"/>
      <name val="Arial Narrow"/>
      <family val="2"/>
    </font>
    <font>
      <b/>
      <sz val="12"/>
      <color theme="0"/>
      <name val="Arial Narrow"/>
      <family val="2"/>
    </font>
    <font>
      <b/>
      <sz val="10"/>
      <color theme="0"/>
      <name val="Arial Narrow"/>
      <family val="2"/>
    </font>
    <font>
      <b/>
      <sz val="16"/>
      <color theme="0"/>
      <name val="Arial Narrow"/>
      <family val="2"/>
    </font>
    <font>
      <sz val="10"/>
      <color rgb="FFFF0000"/>
      <name val="Arial"/>
      <family val="2"/>
    </font>
    <font>
      <sz val="10"/>
      <color theme="0"/>
      <name val="Arial Narrow"/>
      <family val="2"/>
    </font>
    <font>
      <sz val="10"/>
      <color theme="1"/>
      <name val="Arial"/>
      <family val="2"/>
    </font>
    <font>
      <b/>
      <sz val="22"/>
      <color theme="1"/>
      <name val="Arial Narrow"/>
      <family val="2"/>
    </font>
    <font>
      <b/>
      <sz val="12"/>
      <name val="Arial Narrow"/>
      <family val="2"/>
    </font>
    <font>
      <b/>
      <sz val="16"/>
      <name val="Arial Narrow"/>
      <family val="2"/>
    </font>
    <font>
      <sz val="20"/>
      <color theme="1"/>
      <name val="Arial Narrow"/>
      <family val="2"/>
    </font>
    <font>
      <sz val="20"/>
      <color theme="0"/>
      <name val="Arial Narrow"/>
      <family val="2"/>
    </font>
    <font>
      <b/>
      <sz val="20"/>
      <color theme="0"/>
      <name val="Arial Narrow"/>
      <family val="2"/>
    </font>
    <font>
      <b/>
      <sz val="14"/>
      <color theme="0"/>
      <name val="Arial Narrow"/>
      <family val="2"/>
    </font>
    <font>
      <sz val="11"/>
      <color rgb="FFFF0000"/>
      <name val="Arial Narrow"/>
      <family val="2"/>
    </font>
    <font>
      <b/>
      <sz val="11"/>
      <color rgb="FFFF0000"/>
      <name val="Arial Narrow"/>
      <family val="2"/>
    </font>
    <font>
      <i/>
      <sz val="11"/>
      <name val="Arial Narrow"/>
      <family val="2"/>
    </font>
    <font>
      <sz val="8"/>
      <name val="Arial"/>
      <family val="2"/>
    </font>
    <font>
      <sz val="10"/>
      <color rgb="FF000000"/>
      <name val="Arial Narrow"/>
      <family val="2"/>
    </font>
    <font>
      <sz val="11"/>
      <color theme="3" tint="0.39997558519241921"/>
      <name val="Arial Narrow"/>
      <family val="2"/>
    </font>
    <font>
      <b/>
      <sz val="10"/>
      <color theme="0"/>
      <name val="Calibri"/>
      <family val="2"/>
      <scheme val="minor"/>
    </font>
    <font>
      <b/>
      <sz val="10"/>
      <color theme="1"/>
      <name val="Calibri"/>
      <family val="2"/>
      <scheme val="minor"/>
    </font>
    <font>
      <b/>
      <sz val="20"/>
      <color theme="1"/>
      <name val="Calibri"/>
      <family val="2"/>
      <scheme val="minor"/>
    </font>
    <font>
      <sz val="12"/>
      <color theme="1"/>
      <name val="Humanst521 BT"/>
      <family val="2"/>
    </font>
    <font>
      <sz val="10"/>
      <color theme="4"/>
      <name val="Arial Narrow"/>
      <family val="2"/>
    </font>
    <font>
      <sz val="16"/>
      <color theme="1"/>
      <name val="Arial Narrow"/>
      <family val="2"/>
    </font>
    <font>
      <sz val="16"/>
      <color theme="4"/>
      <name val="Arial Narrow"/>
      <family val="2"/>
    </font>
    <font>
      <sz val="12"/>
      <color theme="1"/>
      <name val="Arial Narrow"/>
      <family val="2"/>
    </font>
    <font>
      <sz val="10"/>
      <color theme="1"/>
      <name val="Humanst521 BT"/>
      <family val="2"/>
    </font>
    <font>
      <b/>
      <sz val="20"/>
      <color theme="0"/>
      <name val="Humanst521 BT"/>
      <family val="2"/>
    </font>
    <font>
      <sz val="20"/>
      <color theme="1"/>
      <name val="Humanst521 BT"/>
      <family val="2"/>
    </font>
    <font>
      <sz val="11"/>
      <color theme="1"/>
      <name val="Humanst521 BT"/>
      <family val="2"/>
    </font>
    <font>
      <b/>
      <sz val="20"/>
      <color theme="1"/>
      <name val="Humanst521 BT"/>
      <family val="2"/>
    </font>
    <font>
      <sz val="11"/>
      <color theme="0"/>
      <name val="Humanst521 BT"/>
      <family val="2"/>
    </font>
    <font>
      <b/>
      <sz val="22"/>
      <color theme="0"/>
      <name val="Humanst521 BT"/>
      <family val="2"/>
    </font>
    <font>
      <b/>
      <sz val="24"/>
      <color theme="1"/>
      <name val="Humanst521 BT"/>
      <family val="2"/>
    </font>
    <font>
      <sz val="20"/>
      <color rgb="FFFF0000"/>
      <name val="Humanst521 BT"/>
      <family val="2"/>
    </font>
    <font>
      <b/>
      <sz val="12"/>
      <color rgb="FFFF0000"/>
      <name val="Humanst521 BT"/>
      <family val="2"/>
    </font>
    <font>
      <b/>
      <sz val="18"/>
      <color theme="0"/>
      <name val="Humanst521 BT"/>
      <family val="2"/>
    </font>
    <font>
      <b/>
      <sz val="12"/>
      <name val="Humanst521 BT"/>
      <family val="2"/>
    </font>
    <font>
      <b/>
      <sz val="14"/>
      <name val="Humanst521 BT"/>
      <family val="2"/>
    </font>
    <font>
      <sz val="16"/>
      <color theme="1"/>
      <name val="Humanst521 BT"/>
      <family val="2"/>
    </font>
    <font>
      <b/>
      <sz val="10"/>
      <color rgb="FFFF0000"/>
      <name val="Humanst521 BT"/>
      <family val="2"/>
    </font>
    <font>
      <b/>
      <sz val="14"/>
      <color theme="0"/>
      <name val="Humanst521 BT"/>
      <family val="2"/>
    </font>
    <font>
      <b/>
      <u/>
      <sz val="20"/>
      <color theme="0"/>
      <name val="Humanst521 BT"/>
      <family val="2"/>
    </font>
    <font>
      <b/>
      <sz val="16"/>
      <color theme="0"/>
      <name val="Humanst521 BT"/>
      <family val="2"/>
    </font>
    <font>
      <b/>
      <sz val="12"/>
      <color theme="0"/>
      <name val="Humanst521 BT"/>
      <family val="2"/>
    </font>
    <font>
      <b/>
      <sz val="10"/>
      <color theme="1"/>
      <name val="Humanst521 BT"/>
      <family val="2"/>
    </font>
    <font>
      <sz val="18"/>
      <color theme="1"/>
      <name val="Humanst521 BT"/>
      <family val="2"/>
    </font>
    <font>
      <b/>
      <sz val="18"/>
      <name val="Humanst521 BT"/>
      <family val="2"/>
    </font>
    <font>
      <b/>
      <sz val="16"/>
      <color theme="1"/>
      <name val="Humanst521 BT"/>
      <family val="2"/>
    </font>
    <font>
      <b/>
      <i/>
      <sz val="10"/>
      <name val="Humanst521 BT"/>
      <family val="2"/>
    </font>
    <font>
      <b/>
      <i/>
      <sz val="10"/>
      <color theme="1"/>
      <name val="Humanst521 BT"/>
      <family val="2"/>
    </font>
    <font>
      <sz val="11"/>
      <color rgb="FF000000"/>
      <name val="Arial Narrow"/>
      <family val="2"/>
    </font>
    <font>
      <sz val="11"/>
      <color rgb="FF00B0F0"/>
      <name val="Arial Narrow"/>
      <family val="2"/>
    </font>
    <font>
      <b/>
      <sz val="11"/>
      <color rgb="FF000000"/>
      <name val="Arial Narrow"/>
      <family val="2"/>
    </font>
    <font>
      <sz val="16"/>
      <name val="Arial Narrow"/>
      <family val="2"/>
    </font>
    <font>
      <sz val="12"/>
      <name val="Arial Narrow"/>
      <family val="2"/>
    </font>
    <font>
      <sz val="20"/>
      <name val="Humanst521 BT"/>
      <family val="2"/>
    </font>
    <font>
      <sz val="11"/>
      <color theme="5"/>
      <name val="Arial Narrow"/>
      <family val="2"/>
    </font>
    <font>
      <sz val="10"/>
      <color rgb="FFC00000"/>
      <name val="Humanst521 BT"/>
      <family val="2"/>
    </font>
    <font>
      <sz val="13"/>
      <name val="Humanst521 BT"/>
      <family val="2"/>
    </font>
  </fonts>
  <fills count="2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indexed="51"/>
        <bgColor indexed="64"/>
      </patternFill>
    </fill>
    <fill>
      <patternFill patternType="solid">
        <fgColor rgb="FF83A343"/>
        <bgColor indexed="64"/>
      </patternFill>
    </fill>
    <fill>
      <patternFill patternType="solid">
        <fgColor rgb="FFFFCC00"/>
        <bgColor indexed="64"/>
      </patternFill>
    </fill>
    <fill>
      <patternFill patternType="solid">
        <fgColor theme="7" tint="-0.249977111117893"/>
        <bgColor indexed="64"/>
      </patternFill>
    </fill>
    <fill>
      <patternFill patternType="solid">
        <fgColor rgb="FF2E3917"/>
        <bgColor indexed="64"/>
      </patternFill>
    </fill>
    <fill>
      <patternFill patternType="lightTrellis">
        <fgColor theme="0" tint="-0.14996795556505021"/>
        <bgColor theme="0"/>
      </patternFill>
    </fill>
    <fill>
      <patternFill patternType="solid">
        <fgColor theme="4" tint="0.7999816888943144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C3939"/>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auto="1"/>
      </top>
      <bottom/>
      <diagonal/>
    </border>
    <border>
      <left style="hair">
        <color auto="1"/>
      </left>
      <right/>
      <top style="hair">
        <color auto="1"/>
      </top>
      <bottom style="hair">
        <color auto="1"/>
      </bottom>
      <diagonal/>
    </border>
    <border>
      <left style="double">
        <color indexed="64"/>
      </left>
      <right/>
      <top style="double">
        <color indexed="64"/>
      </top>
      <bottom/>
      <diagonal/>
    </border>
    <border>
      <left/>
      <right style="thin">
        <color theme="0"/>
      </right>
      <top style="double">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rgb="FF81829A"/>
      </left>
      <right style="hair">
        <color rgb="FF81829A"/>
      </right>
      <top style="hair">
        <color rgb="FF81829A"/>
      </top>
      <bottom style="hair">
        <color rgb="FF81829A"/>
      </bottom>
      <diagonal/>
    </border>
    <border>
      <left style="thin">
        <color rgb="FF81829A"/>
      </left>
      <right style="thin">
        <color rgb="FF81829A"/>
      </right>
      <top style="thin">
        <color rgb="FF81829A"/>
      </top>
      <bottom style="thin">
        <color rgb="FF81829A"/>
      </bottom>
      <diagonal/>
    </border>
    <border>
      <left style="hair">
        <color rgb="FF81829A"/>
      </left>
      <right/>
      <top style="hair">
        <color rgb="FF81829A"/>
      </top>
      <bottom style="thin">
        <color rgb="FF81829A"/>
      </bottom>
      <diagonal/>
    </border>
    <border>
      <left/>
      <right style="hair">
        <color rgb="FF81829A"/>
      </right>
      <top style="hair">
        <color rgb="FF81829A"/>
      </top>
      <bottom style="hair">
        <color rgb="FF81829A"/>
      </bottom>
      <diagonal/>
    </border>
    <border>
      <left/>
      <right style="hair">
        <color rgb="FF81829A"/>
      </right>
      <top style="hair">
        <color rgb="FF81829A"/>
      </top>
      <bottom style="thin">
        <color rgb="FF81829A"/>
      </bottom>
      <diagonal/>
    </border>
    <border>
      <left style="thin">
        <color rgb="FF81829A"/>
      </left>
      <right/>
      <top style="hair">
        <color rgb="FF81829A"/>
      </top>
      <bottom style="hair">
        <color rgb="FF81829A"/>
      </bottom>
      <diagonal/>
    </border>
    <border>
      <left style="thin">
        <color rgb="FF81829A"/>
      </left>
      <right/>
      <top style="hair">
        <color rgb="FF81829A"/>
      </top>
      <bottom style="thin">
        <color rgb="FF81829A"/>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thin">
        <color indexed="64"/>
      </left>
      <right style="thin">
        <color indexed="64"/>
      </right>
      <top style="medium">
        <color indexed="64"/>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0"/>
      </left>
      <right style="thin">
        <color theme="0"/>
      </right>
      <top/>
      <bottom style="thin">
        <color theme="0"/>
      </bottom>
      <diagonal/>
    </border>
    <border>
      <left style="dashed">
        <color indexed="64"/>
      </left>
      <right style="dashed">
        <color indexed="64"/>
      </right>
      <top style="dashed">
        <color indexed="64"/>
      </top>
      <bottom style="dashed">
        <color indexed="64"/>
      </bottom>
      <diagonal/>
    </border>
    <border>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diagonal/>
    </border>
    <border>
      <left style="dotted">
        <color indexed="64"/>
      </left>
      <right/>
      <top style="medium">
        <color indexed="64"/>
      </top>
      <bottom style="dotted">
        <color indexed="64"/>
      </bottom>
      <diagonal/>
    </border>
    <border>
      <left style="dotted">
        <color indexed="64"/>
      </left>
      <right/>
      <top/>
      <bottom style="dotted">
        <color indexed="64"/>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dotted">
        <color indexed="64"/>
      </left>
      <right style="dotted">
        <color indexed="64"/>
      </right>
      <top/>
      <bottom style="dotted">
        <color indexed="64"/>
      </bottom>
      <diagonal/>
    </border>
    <border>
      <left style="hair">
        <color indexed="64"/>
      </left>
      <right/>
      <top/>
      <bottom style="hair">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hair">
        <color indexed="64"/>
      </left>
      <right style="hair">
        <color indexed="64"/>
      </right>
      <top style="hair">
        <color indexed="64"/>
      </top>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medium">
        <color indexed="64"/>
      </top>
      <bottom/>
      <diagonal/>
    </border>
    <border>
      <left style="medium">
        <color indexed="64"/>
      </left>
      <right style="hair">
        <color indexed="64"/>
      </right>
      <top style="hair">
        <color indexed="64"/>
      </top>
      <bottom/>
      <diagonal/>
    </border>
    <border>
      <left style="hair">
        <color indexed="64"/>
      </left>
      <right style="hair">
        <color indexed="64"/>
      </right>
      <top style="thin">
        <color rgb="FF000000"/>
      </top>
      <bottom style="hair">
        <color indexed="64"/>
      </bottom>
      <diagonal/>
    </border>
    <border>
      <left style="hair">
        <color indexed="64"/>
      </left>
      <right style="thin">
        <color indexed="64"/>
      </right>
      <top style="thin">
        <color rgb="FF000000"/>
      </top>
      <bottom style="hair">
        <color indexed="64"/>
      </bottom>
      <diagonal/>
    </border>
    <border>
      <left style="hair">
        <color indexed="64"/>
      </left>
      <right style="hair">
        <color indexed="64"/>
      </right>
      <top style="hair">
        <color indexed="64"/>
      </top>
      <bottom style="medium">
        <color rgb="FF000000"/>
      </bottom>
      <diagonal/>
    </border>
    <border>
      <left style="hair">
        <color indexed="64"/>
      </left>
      <right style="thin">
        <color indexed="64"/>
      </right>
      <top style="hair">
        <color indexed="64"/>
      </top>
      <bottom style="medium">
        <color rgb="FF000000"/>
      </bottom>
      <diagonal/>
    </border>
    <border>
      <left style="hair">
        <color indexed="64"/>
      </left>
      <right style="thin">
        <color indexed="64"/>
      </right>
      <top style="hair">
        <color indexed="64"/>
      </top>
      <bottom/>
      <diagonal/>
    </border>
    <border>
      <left style="hair">
        <color indexed="64"/>
      </left>
      <right style="thin">
        <color rgb="FF000000"/>
      </right>
      <top style="medium">
        <color indexed="64"/>
      </top>
      <bottom style="hair">
        <color indexed="64"/>
      </bottom>
      <diagonal/>
    </border>
    <border>
      <left style="hair">
        <color indexed="64"/>
      </left>
      <right style="thin">
        <color rgb="FF000000"/>
      </right>
      <top style="hair">
        <color indexed="64"/>
      </top>
      <bottom style="hair">
        <color indexed="64"/>
      </bottom>
      <diagonal/>
    </border>
    <border>
      <left style="hair">
        <color indexed="64"/>
      </left>
      <right style="thin">
        <color rgb="FF00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rgb="FF000000"/>
      </right>
      <top style="medium">
        <color indexed="64"/>
      </top>
      <bottom/>
      <diagonal/>
    </border>
    <border>
      <left style="hair">
        <color indexed="64"/>
      </left>
      <right style="thin">
        <color rgb="FF000000"/>
      </right>
      <top/>
      <bottom/>
      <diagonal/>
    </border>
    <border>
      <left style="hair">
        <color indexed="64"/>
      </left>
      <right style="thin">
        <color rgb="FF000000"/>
      </right>
      <top/>
      <bottom style="medium">
        <color indexed="64"/>
      </bottom>
      <diagonal/>
    </border>
    <border>
      <left/>
      <right/>
      <top style="hair">
        <color auto="1"/>
      </top>
      <bottom style="hair">
        <color auto="1"/>
      </bottom>
      <diagonal/>
    </border>
    <border>
      <left/>
      <right/>
      <top style="hair">
        <color indexed="64"/>
      </top>
      <bottom style="medium">
        <color indexed="64"/>
      </bottom>
      <diagonal/>
    </border>
    <border>
      <left/>
      <right style="hair">
        <color indexed="64"/>
      </right>
      <top/>
      <bottom/>
      <diagonal/>
    </border>
  </borders>
  <cellStyleXfs count="9">
    <xf numFmtId="0" fontId="0" fillId="0" borderId="0"/>
    <xf numFmtId="0" fontId="1" fillId="4" borderId="0"/>
    <xf numFmtId="0" fontId="2" fillId="0" borderId="0" applyNumberFormat="0" applyFill="0" applyBorder="0" applyAlignment="0" applyProtection="0">
      <alignment vertical="top"/>
      <protection locked="0"/>
    </xf>
    <xf numFmtId="0" fontId="4" fillId="0" borderId="0"/>
    <xf numFmtId="0" fontId="3" fillId="0" borderId="0"/>
    <xf numFmtId="0" fontId="5" fillId="0" borderId="0"/>
    <xf numFmtId="9" fontId="32"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cellStyleXfs>
  <cellXfs count="929">
    <xf numFmtId="0" fontId="0" fillId="0" borderId="0" xfId="0"/>
    <xf numFmtId="0" fontId="6" fillId="0" borderId="0" xfId="4" applyFont="1"/>
    <xf numFmtId="0" fontId="6" fillId="0" borderId="32" xfId="4" applyFont="1" applyBorder="1"/>
    <xf numFmtId="0" fontId="9" fillId="0" borderId="0" xfId="4" applyFont="1" applyAlignment="1">
      <alignment horizontal="left" vertical="center" wrapText="1"/>
    </xf>
    <xf numFmtId="0" fontId="6" fillId="0" borderId="0" xfId="4" applyFont="1" applyAlignment="1">
      <alignment horizontal="left" vertical="center" wrapText="1"/>
    </xf>
    <xf numFmtId="0" fontId="6" fillId="0" borderId="0" xfId="4" quotePrefix="1"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top" wrapText="1"/>
    </xf>
    <xf numFmtId="0" fontId="11" fillId="0" borderId="0" xfId="5" applyFont="1" applyAlignment="1">
      <alignment horizontal="left" vertical="top" wrapText="1" readingOrder="1"/>
    </xf>
    <xf numFmtId="0" fontId="16" fillId="2" borderId="0" xfId="0" applyFont="1" applyFill="1"/>
    <xf numFmtId="1" fontId="16" fillId="2" borderId="0" xfId="0" applyNumberFormat="1" applyFont="1" applyFill="1" applyAlignment="1">
      <alignment horizontal="center" vertical="center"/>
    </xf>
    <xf numFmtId="0" fontId="16" fillId="2" borderId="0" xfId="0" applyFont="1" applyFill="1" applyAlignment="1">
      <alignment horizontal="justify" vertical="center" wrapText="1"/>
    </xf>
    <xf numFmtId="0" fontId="11" fillId="2" borderId="12" xfId="0" applyFont="1" applyFill="1" applyBorder="1" applyAlignment="1">
      <alignment vertical="center"/>
    </xf>
    <xf numFmtId="0" fontId="18" fillId="2" borderId="0" xfId="2" applyFont="1" applyFill="1" applyAlignment="1" applyProtection="1">
      <alignment horizontal="center" vertical="center"/>
    </xf>
    <xf numFmtId="0" fontId="19" fillId="2" borderId="0" xfId="0" applyFont="1" applyFill="1" applyAlignment="1">
      <alignment horizontal="center" vertical="center"/>
    </xf>
    <xf numFmtId="0" fontId="19" fillId="0" borderId="0" xfId="0" applyFont="1" applyAlignment="1" applyProtection="1">
      <alignment vertical="center" wrapText="1"/>
      <protection locked="0"/>
    </xf>
    <xf numFmtId="0" fontId="16" fillId="0" borderId="0" xfId="0" applyFont="1"/>
    <xf numFmtId="0" fontId="16" fillId="0" borderId="10" xfId="0" applyFont="1" applyBorder="1" applyAlignment="1">
      <alignment horizontal="left" vertical="center" wrapText="1"/>
    </xf>
    <xf numFmtId="0" fontId="16" fillId="0" borderId="29" xfId="0" applyFont="1" applyBorder="1" applyAlignment="1">
      <alignment horizontal="left" vertical="center" wrapText="1"/>
    </xf>
    <xf numFmtId="0" fontId="16" fillId="0" borderId="13" xfId="0" applyFont="1" applyBorder="1" applyAlignment="1">
      <alignment horizontal="left" vertical="center" wrapText="1"/>
    </xf>
    <xf numFmtId="0" fontId="16" fillId="0" borderId="0" xfId="0" applyFont="1" applyAlignment="1">
      <alignment vertical="center"/>
    </xf>
    <xf numFmtId="0" fontId="23" fillId="12" borderId="30" xfId="0" applyFont="1" applyFill="1" applyBorder="1" applyAlignment="1">
      <alignment horizontal="center" vertical="center" wrapText="1"/>
    </xf>
    <xf numFmtId="0" fontId="23" fillId="12" borderId="31" xfId="0" applyFont="1" applyFill="1" applyBorder="1" applyAlignment="1">
      <alignment horizontal="center" vertical="center" wrapText="1"/>
    </xf>
    <xf numFmtId="0" fontId="13" fillId="2" borderId="12" xfId="0" applyFont="1" applyFill="1" applyBorder="1" applyAlignment="1">
      <alignment vertical="center" wrapText="1"/>
    </xf>
    <xf numFmtId="1" fontId="25" fillId="2" borderId="0" xfId="3" applyNumberFormat="1" applyFont="1" applyFill="1" applyAlignment="1" applyProtection="1">
      <alignment vertical="center"/>
      <protection locked="0"/>
    </xf>
    <xf numFmtId="49" fontId="25" fillId="2" borderId="0" xfId="3" applyNumberFormat="1" applyFont="1" applyFill="1" applyAlignment="1" applyProtection="1">
      <alignment vertical="center"/>
      <protection locked="0"/>
    </xf>
    <xf numFmtId="0" fontId="25" fillId="2" borderId="0" xfId="3" applyFont="1" applyFill="1" applyAlignment="1" applyProtection="1">
      <alignment vertical="center"/>
      <protection locked="0"/>
    </xf>
    <xf numFmtId="0" fontId="27" fillId="2" borderId="0" xfId="0" applyFont="1" applyFill="1" applyAlignment="1" applyProtection="1">
      <alignment vertical="center" wrapText="1"/>
      <protection locked="0"/>
    </xf>
    <xf numFmtId="0" fontId="25" fillId="2" borderId="0" xfId="0" applyFont="1" applyFill="1"/>
    <xf numFmtId="0" fontId="20" fillId="2" borderId="0" xfId="0" applyFont="1" applyFill="1"/>
    <xf numFmtId="0" fontId="25" fillId="2" borderId="1" xfId="3" applyFont="1" applyFill="1" applyBorder="1" applyAlignment="1" applyProtection="1">
      <alignment vertical="center"/>
      <protection locked="0"/>
    </xf>
    <xf numFmtId="0" fontId="16" fillId="2" borderId="0" xfId="0" applyFont="1" applyFill="1" applyAlignment="1">
      <alignment vertical="center"/>
    </xf>
    <xf numFmtId="0" fontId="6" fillId="0" borderId="0" xfId="4" applyFont="1" applyAlignment="1">
      <alignment vertical="top" wrapText="1"/>
    </xf>
    <xf numFmtId="0" fontId="6" fillId="0" borderId="111" xfId="4" applyFont="1" applyBorder="1"/>
    <xf numFmtId="0" fontId="6" fillId="0" borderId="112" xfId="4" applyFont="1" applyBorder="1"/>
    <xf numFmtId="0" fontId="6" fillId="0" borderId="113" xfId="4" applyFont="1" applyBorder="1"/>
    <xf numFmtId="0" fontId="6" fillId="0" borderId="114" xfId="4" applyFont="1" applyBorder="1"/>
    <xf numFmtId="0" fontId="6" fillId="0" borderId="111" xfId="4" applyFont="1" applyBorder="1" applyAlignment="1">
      <alignment vertical="top" wrapText="1"/>
    </xf>
    <xf numFmtId="0" fontId="6" fillId="0" borderId="112" xfId="4" applyFont="1" applyBorder="1" applyAlignment="1">
      <alignment vertical="top" wrapText="1"/>
    </xf>
    <xf numFmtId="0" fontId="6" fillId="0" borderId="115" xfId="4" applyFont="1" applyBorder="1"/>
    <xf numFmtId="0" fontId="6" fillId="0" borderId="116" xfId="4" applyFont="1" applyBorder="1"/>
    <xf numFmtId="0" fontId="6" fillId="0" borderId="117" xfId="4" applyFont="1" applyBorder="1"/>
    <xf numFmtId="0" fontId="19" fillId="3" borderId="0" xfId="0" applyFont="1" applyFill="1" applyAlignment="1">
      <alignment horizontal="center" vertical="center" wrapText="1"/>
    </xf>
    <xf numFmtId="0" fontId="31" fillId="0" borderId="0" xfId="3" applyFont="1" applyAlignment="1" applyProtection="1">
      <alignment vertical="center"/>
      <protection locked="0"/>
    </xf>
    <xf numFmtId="0" fontId="27" fillId="0" borderId="0" xfId="0" applyFont="1" applyAlignment="1" applyProtection="1">
      <alignment vertical="center" wrapText="1"/>
      <protection locked="0"/>
    </xf>
    <xf numFmtId="0" fontId="31" fillId="0" borderId="0" xfId="0" applyFont="1"/>
    <xf numFmtId="2" fontId="20" fillId="2" borderId="0" xfId="0" applyNumberFormat="1" applyFont="1" applyFill="1"/>
    <xf numFmtId="0" fontId="20" fillId="0" borderId="0" xfId="0" applyFont="1"/>
    <xf numFmtId="2" fontId="20" fillId="0" borderId="0" xfId="0" applyNumberFormat="1" applyFont="1"/>
    <xf numFmtId="167" fontId="20" fillId="0" borderId="0" xfId="0" applyNumberFormat="1" applyFont="1"/>
    <xf numFmtId="0" fontId="14" fillId="0" borderId="13" xfId="0" applyFont="1" applyBorder="1" applyAlignment="1">
      <alignment horizontal="left" vertical="center" wrapText="1"/>
    </xf>
    <xf numFmtId="0" fontId="17" fillId="0" borderId="8"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34" fillId="16" borderId="1" xfId="3" applyFont="1" applyFill="1" applyBorder="1" applyAlignment="1" applyProtection="1">
      <alignment horizontal="center" vertical="center" wrapText="1"/>
      <protection locked="0"/>
    </xf>
    <xf numFmtId="0" fontId="34" fillId="15" borderId="1" xfId="3" applyFont="1" applyFill="1" applyBorder="1" applyAlignment="1" applyProtection="1">
      <alignment horizontal="center" vertical="center" wrapText="1"/>
      <protection locked="0"/>
    </xf>
    <xf numFmtId="0" fontId="34" fillId="14" borderId="1" xfId="3" applyFont="1" applyFill="1" applyBorder="1" applyAlignment="1" applyProtection="1">
      <alignment horizontal="center" vertical="center" wrapText="1"/>
      <protection locked="0"/>
    </xf>
    <xf numFmtId="0" fontId="34" fillId="13" borderId="1" xfId="3" applyFont="1" applyFill="1" applyBorder="1" applyAlignment="1" applyProtection="1">
      <alignment horizontal="center" vertical="center" wrapText="1"/>
      <protection locked="0"/>
    </xf>
    <xf numFmtId="0" fontId="14" fillId="2" borderId="0" xfId="0" applyFont="1" applyFill="1"/>
    <xf numFmtId="1" fontId="36" fillId="2" borderId="0" xfId="3" applyNumberFormat="1" applyFont="1" applyFill="1" applyAlignment="1" applyProtection="1">
      <alignment vertical="center"/>
      <protection locked="0"/>
    </xf>
    <xf numFmtId="0" fontId="36" fillId="2" borderId="0" xfId="3" applyFont="1" applyFill="1" applyAlignment="1" applyProtection="1">
      <alignment vertical="center"/>
      <protection locked="0"/>
    </xf>
    <xf numFmtId="0" fontId="37" fillId="0" borderId="0" xfId="3" applyFont="1" applyAlignment="1" applyProtection="1">
      <alignment vertical="center"/>
      <protection locked="0"/>
    </xf>
    <xf numFmtId="0" fontId="10" fillId="19" borderId="1" xfId="0" applyFont="1" applyFill="1" applyBorder="1" applyAlignment="1">
      <alignment horizontal="center" vertical="center"/>
    </xf>
    <xf numFmtId="2" fontId="40" fillId="2" borderId="0" xfId="0" applyNumberFormat="1" applyFont="1" applyFill="1"/>
    <xf numFmtId="2" fontId="40" fillId="0" borderId="0" xfId="0" applyNumberFormat="1" applyFont="1"/>
    <xf numFmtId="0" fontId="40" fillId="2" borderId="0" xfId="0" applyFont="1" applyFill="1"/>
    <xf numFmtId="0" fontId="17" fillId="2" borderId="99"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26" fillId="2" borderId="122" xfId="3" applyFont="1" applyFill="1" applyBorder="1" applyAlignment="1" applyProtection="1">
      <alignment horizontal="center" vertical="center" wrapText="1"/>
      <protection hidden="1"/>
    </xf>
    <xf numFmtId="0" fontId="26" fillId="2" borderId="78" xfId="3" applyFont="1" applyFill="1" applyBorder="1" applyAlignment="1" applyProtection="1">
      <alignment horizontal="left" vertical="top" wrapText="1"/>
      <protection hidden="1"/>
    </xf>
    <xf numFmtId="1" fontId="26" fillId="2" borderId="78" xfId="3" applyNumberFormat="1" applyFont="1" applyFill="1" applyBorder="1" applyAlignment="1" applyProtection="1">
      <alignment horizontal="center" vertical="center" wrapText="1"/>
      <protection hidden="1"/>
    </xf>
    <xf numFmtId="0" fontId="26" fillId="2" borderId="95" xfId="3" applyFont="1" applyFill="1" applyBorder="1" applyAlignment="1" applyProtection="1">
      <alignment horizontal="center" vertical="center" wrapText="1"/>
      <protection hidden="1"/>
    </xf>
    <xf numFmtId="0" fontId="26" fillId="2" borderId="79" xfId="3" applyFont="1" applyFill="1" applyBorder="1" applyAlignment="1" applyProtection="1">
      <alignment horizontal="center" vertical="center" wrapText="1"/>
      <protection hidden="1"/>
    </xf>
    <xf numFmtId="0" fontId="26" fillId="2" borderId="79" xfId="3" applyFont="1" applyFill="1" applyBorder="1" applyAlignment="1" applyProtection="1">
      <alignment horizontal="left" vertical="top" wrapText="1"/>
      <protection hidden="1"/>
    </xf>
    <xf numFmtId="0" fontId="26" fillId="2" borderId="96" xfId="3" applyFont="1" applyFill="1" applyBorder="1" applyAlignment="1" applyProtection="1">
      <alignment horizontal="center" vertical="center" wrapText="1"/>
      <protection hidden="1"/>
    </xf>
    <xf numFmtId="0" fontId="28" fillId="3" borderId="19" xfId="3" applyFont="1" applyFill="1" applyBorder="1" applyAlignment="1">
      <alignment horizontal="center" vertical="center"/>
    </xf>
    <xf numFmtId="0" fontId="28" fillId="3" borderId="12" xfId="3" applyFont="1" applyFill="1" applyBorder="1" applyAlignment="1">
      <alignment horizontal="center" vertical="center" wrapText="1"/>
    </xf>
    <xf numFmtId="0" fontId="25" fillId="2" borderId="0" xfId="3" applyFont="1" applyFill="1" applyAlignment="1" applyProtection="1">
      <alignment vertical="center"/>
      <protection hidden="1"/>
    </xf>
    <xf numFmtId="9" fontId="6" fillId="2" borderId="0" xfId="3" applyNumberFormat="1" applyFont="1" applyFill="1" applyAlignment="1" applyProtection="1">
      <alignment vertical="center"/>
      <protection hidden="1"/>
    </xf>
    <xf numFmtId="9" fontId="31" fillId="2" borderId="0" xfId="6" applyFont="1" applyFill="1" applyAlignment="1" applyProtection="1">
      <alignment vertical="center"/>
      <protection hidden="1"/>
    </xf>
    <xf numFmtId="9" fontId="31" fillId="2" borderId="0" xfId="3" applyNumberFormat="1" applyFont="1" applyFill="1" applyAlignment="1" applyProtection="1">
      <alignment vertical="center"/>
      <protection hidden="1"/>
    </xf>
    <xf numFmtId="0" fontId="6" fillId="2" borderId="0" xfId="3" applyFont="1" applyFill="1" applyAlignment="1" applyProtection="1">
      <alignment vertical="center"/>
      <protection hidden="1"/>
    </xf>
    <xf numFmtId="0" fontId="10" fillId="0" borderId="0" xfId="3" applyFont="1" applyAlignment="1" applyProtection="1">
      <alignment vertical="center"/>
      <protection hidden="1"/>
    </xf>
    <xf numFmtId="0" fontId="14" fillId="0" borderId="0" xfId="3" applyFont="1" applyAlignment="1" applyProtection="1">
      <alignment vertical="center" wrapText="1"/>
      <protection hidden="1"/>
    </xf>
    <xf numFmtId="0" fontId="0" fillId="0" borderId="0" xfId="0" applyProtection="1">
      <protection hidden="1"/>
    </xf>
    <xf numFmtId="0" fontId="10" fillId="0" borderId="0" xfId="3" applyFont="1" applyAlignment="1" applyProtection="1">
      <alignment vertical="center" wrapText="1"/>
      <protection hidden="1"/>
    </xf>
    <xf numFmtId="0" fontId="30" fillId="0" borderId="0" xfId="0" applyFont="1" applyProtection="1">
      <protection hidden="1"/>
    </xf>
    <xf numFmtId="0" fontId="6" fillId="0" borderId="111" xfId="4" applyFont="1" applyBorder="1" applyAlignment="1">
      <alignment horizontal="left" vertical="top"/>
    </xf>
    <xf numFmtId="0" fontId="6" fillId="0" borderId="112" xfId="4" applyFont="1" applyBorder="1" applyAlignment="1">
      <alignment horizontal="left" vertical="top"/>
    </xf>
    <xf numFmtId="0" fontId="10" fillId="10" borderId="1" xfId="3" applyFont="1" applyFill="1" applyBorder="1" applyAlignment="1" applyProtection="1">
      <alignment horizontal="center" vertical="center" wrapText="1"/>
      <protection locked="0"/>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6" fillId="2" borderId="12"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6" fillId="2" borderId="0" xfId="0" applyFont="1" applyFill="1" applyAlignment="1">
      <alignment wrapText="1"/>
    </xf>
    <xf numFmtId="0" fontId="14" fillId="19" borderId="1" xfId="0" applyFont="1" applyFill="1" applyBorder="1" applyAlignment="1">
      <alignment horizontal="center" vertical="center" wrapText="1"/>
    </xf>
    <xf numFmtId="0" fontId="16" fillId="2" borderId="17" xfId="0" applyFont="1" applyFill="1" applyBorder="1" applyAlignment="1" applyProtection="1">
      <alignment horizontal="center" vertical="center" wrapText="1"/>
      <protection locked="0"/>
    </xf>
    <xf numFmtId="0" fontId="16" fillId="2" borderId="99"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6" fillId="2" borderId="0" xfId="0" applyFont="1" applyFill="1" applyAlignment="1">
      <alignment vertical="center" wrapText="1"/>
    </xf>
    <xf numFmtId="0" fontId="19" fillId="2" borderId="0" xfId="0" applyFont="1" applyFill="1" applyAlignment="1">
      <alignment horizontal="center" vertical="center" wrapText="1"/>
    </xf>
    <xf numFmtId="0" fontId="17" fillId="2" borderId="12"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left" vertical="center" wrapText="1"/>
      <protection locked="0"/>
    </xf>
    <xf numFmtId="0" fontId="16" fillId="2" borderId="12" xfId="0" applyFont="1" applyFill="1" applyBorder="1" applyAlignment="1" applyProtection="1">
      <alignment horizontal="left" vertical="center" wrapText="1"/>
      <protection locked="0"/>
    </xf>
    <xf numFmtId="0" fontId="16" fillId="2" borderId="19" xfId="0" applyFont="1" applyFill="1" applyBorder="1" applyAlignment="1" applyProtection="1">
      <alignment horizontal="left" vertical="center" wrapText="1"/>
      <protection locked="0"/>
    </xf>
    <xf numFmtId="0" fontId="16" fillId="0" borderId="17" xfId="0" applyFont="1" applyBorder="1" applyAlignment="1" applyProtection="1">
      <alignment horizontal="left" vertical="center"/>
      <protection locked="0"/>
    </xf>
    <xf numFmtId="0" fontId="16" fillId="0" borderId="12" xfId="0" applyFont="1" applyBorder="1" applyAlignment="1" applyProtection="1">
      <alignment horizontal="left" vertical="center" wrapText="1"/>
      <protection locked="0"/>
    </xf>
    <xf numFmtId="0" fontId="14" fillId="2" borderId="17"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25" fillId="2" borderId="1" xfId="3" applyFont="1" applyFill="1" applyBorder="1" applyAlignment="1" applyProtection="1">
      <alignment vertical="center" wrapText="1"/>
      <protection locked="0"/>
    </xf>
    <xf numFmtId="0" fontId="25" fillId="2" borderId="1" xfId="3" applyFont="1" applyFill="1" applyBorder="1" applyAlignment="1" applyProtection="1">
      <alignment horizontal="center" vertical="center"/>
      <protection locked="0"/>
    </xf>
    <xf numFmtId="0" fontId="25" fillId="2" borderId="0" xfId="3" applyFont="1" applyFill="1" applyAlignment="1" applyProtection="1">
      <alignment vertical="center" wrapText="1"/>
      <protection locked="0"/>
    </xf>
    <xf numFmtId="0" fontId="29" fillId="18" borderId="66" xfId="3" applyFont="1" applyFill="1" applyBorder="1" applyAlignment="1">
      <alignment horizontal="center" vertical="center" wrapText="1"/>
    </xf>
    <xf numFmtId="0" fontId="25" fillId="2" borderId="0" xfId="0" applyFont="1" applyFill="1" applyAlignment="1">
      <alignment wrapText="1"/>
    </xf>
    <xf numFmtId="0" fontId="25" fillId="2" borderId="0" xfId="3" applyFont="1" applyFill="1" applyAlignment="1" applyProtection="1">
      <alignment horizontal="center" vertical="center"/>
      <protection locked="0"/>
    </xf>
    <xf numFmtId="0" fontId="25" fillId="2" borderId="0" xfId="0" applyFont="1" applyFill="1" applyAlignment="1">
      <alignment horizontal="center"/>
    </xf>
    <xf numFmtId="0" fontId="16" fillId="0" borderId="12"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7" fillId="0" borderId="99"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25" fillId="2" borderId="3" xfId="3" applyFont="1" applyFill="1" applyBorder="1" applyAlignment="1" applyProtection="1">
      <alignment horizontal="center" vertical="center" wrapText="1"/>
      <protection locked="0"/>
    </xf>
    <xf numFmtId="0" fontId="25" fillId="2" borderId="1" xfId="3" applyFont="1" applyFill="1" applyBorder="1" applyAlignment="1" applyProtection="1">
      <alignment horizontal="center" vertical="center" wrapText="1"/>
      <protection locked="0"/>
    </xf>
    <xf numFmtId="9" fontId="17" fillId="14" borderId="3" xfId="6" applyFont="1" applyFill="1" applyBorder="1" applyAlignment="1" applyProtection="1">
      <alignment horizontal="center" vertical="center"/>
      <protection hidden="1"/>
    </xf>
    <xf numFmtId="9" fontId="17" fillId="15" borderId="3" xfId="6" applyFont="1" applyFill="1" applyBorder="1" applyAlignment="1" applyProtection="1">
      <alignment horizontal="center" vertical="center"/>
      <protection hidden="1"/>
    </xf>
    <xf numFmtId="9" fontId="17" fillId="15" borderId="1" xfId="6" applyFont="1" applyFill="1" applyBorder="1" applyAlignment="1" applyProtection="1">
      <alignment horizontal="center" vertical="center"/>
      <protection hidden="1"/>
    </xf>
    <xf numFmtId="0" fontId="25" fillId="2" borderId="131" xfId="3" applyFont="1" applyFill="1" applyBorder="1" applyAlignment="1" applyProtection="1">
      <alignment vertical="center" wrapText="1"/>
      <protection locked="0"/>
    </xf>
    <xf numFmtId="0" fontId="25" fillId="2" borderId="4" xfId="3" applyFont="1" applyFill="1" applyBorder="1" applyAlignment="1" applyProtection="1">
      <alignment vertical="center" wrapText="1"/>
      <protection locked="0"/>
    </xf>
    <xf numFmtId="9" fontId="17" fillId="15" borderId="25" xfId="6" applyFont="1" applyFill="1" applyBorder="1" applyAlignment="1" applyProtection="1">
      <alignment horizontal="center" vertical="center"/>
      <protection hidden="1"/>
    </xf>
    <xf numFmtId="9" fontId="25" fillId="2" borderId="1" xfId="6" applyFont="1" applyFill="1" applyBorder="1" applyAlignment="1" applyProtection="1">
      <alignment horizontal="center" vertical="center"/>
      <protection locked="0"/>
    </xf>
    <xf numFmtId="0" fontId="29" fillId="18" borderId="2" xfId="3" applyFont="1" applyFill="1" applyBorder="1" applyAlignment="1">
      <alignment horizontal="center" vertical="center"/>
    </xf>
    <xf numFmtId="0" fontId="25" fillId="2" borderId="1" xfId="3" applyFont="1" applyFill="1" applyBorder="1" applyAlignment="1" applyProtection="1">
      <alignment horizontal="justify" vertical="center" wrapText="1"/>
      <protection locked="0"/>
    </xf>
    <xf numFmtId="0" fontId="25" fillId="2" borderId="0" xfId="3" applyFont="1" applyFill="1" applyAlignment="1" applyProtection="1">
      <alignment horizontal="center" vertical="center" wrapText="1"/>
      <protection locked="0"/>
    </xf>
    <xf numFmtId="9" fontId="25" fillId="2" borderId="0" xfId="6" applyFont="1" applyFill="1" applyAlignment="1" applyProtection="1">
      <alignment horizontal="center" vertical="center" wrapText="1"/>
      <protection locked="0"/>
    </xf>
    <xf numFmtId="9" fontId="25" fillId="2" borderId="1" xfId="6" applyFont="1" applyFill="1" applyBorder="1" applyAlignment="1" applyProtection="1">
      <alignment horizontal="center" vertical="center" wrapText="1"/>
      <protection locked="0"/>
    </xf>
    <xf numFmtId="0" fontId="25" fillId="2" borderId="0" xfId="0" applyFont="1" applyFill="1" applyAlignment="1">
      <alignment horizontal="center" wrapText="1"/>
    </xf>
    <xf numFmtId="9" fontId="25" fillId="2" borderId="0" xfId="6" applyFont="1" applyFill="1" applyAlignment="1">
      <alignment horizontal="center" wrapText="1"/>
    </xf>
    <xf numFmtId="0" fontId="25" fillId="2" borderId="3" xfId="3" applyFont="1" applyFill="1" applyBorder="1" applyAlignment="1" applyProtection="1">
      <alignment vertical="center" wrapText="1"/>
      <protection locked="0"/>
    </xf>
    <xf numFmtId="0" fontId="25" fillId="2" borderId="3" xfId="3" applyFont="1" applyFill="1" applyBorder="1" applyAlignment="1" applyProtection="1">
      <alignment horizontal="justify" vertical="center" wrapText="1"/>
      <protection locked="0"/>
    </xf>
    <xf numFmtId="0" fontId="6" fillId="2" borderId="3" xfId="3" applyFont="1" applyFill="1" applyBorder="1" applyAlignment="1" applyProtection="1">
      <alignment vertical="center" wrapText="1"/>
      <protection locked="0"/>
    </xf>
    <xf numFmtId="0" fontId="25" fillId="2" borderId="3" xfId="3" applyFont="1" applyFill="1" applyBorder="1" applyAlignment="1" applyProtection="1">
      <alignment horizontal="center" vertical="center"/>
      <protection locked="0"/>
    </xf>
    <xf numFmtId="9" fontId="25" fillId="2" borderId="4" xfId="6" applyFont="1" applyFill="1" applyBorder="1" applyAlignment="1" applyProtection="1">
      <alignment horizontal="center" vertical="center" wrapText="1"/>
      <protection locked="0"/>
    </xf>
    <xf numFmtId="9" fontId="25" fillId="2" borderId="4" xfId="3" applyNumberFormat="1" applyFont="1" applyFill="1" applyBorder="1" applyAlignment="1" applyProtection="1">
      <alignment horizontal="center" vertical="center" wrapText="1"/>
      <protection locked="0"/>
    </xf>
    <xf numFmtId="9" fontId="29" fillId="18" borderId="149" xfId="6" applyFont="1" applyFill="1" applyBorder="1" applyAlignment="1" applyProtection="1">
      <alignment horizontal="center" vertical="center" wrapText="1"/>
    </xf>
    <xf numFmtId="9" fontId="25" fillId="2" borderId="131" xfId="3" applyNumberFormat="1" applyFont="1" applyFill="1" applyBorder="1" applyAlignment="1" applyProtection="1">
      <alignment horizontal="center" vertical="center" wrapText="1"/>
      <protection locked="0"/>
    </xf>
    <xf numFmtId="0" fontId="10" fillId="19" borderId="1" xfId="0" applyFont="1" applyFill="1" applyBorder="1" applyAlignment="1">
      <alignment horizontal="center" vertical="center" wrapText="1"/>
    </xf>
    <xf numFmtId="0" fontId="16" fillId="0" borderId="99" xfId="0" applyFont="1" applyBorder="1" applyAlignment="1" applyProtection="1">
      <alignment horizontal="justify" vertical="center" wrapText="1"/>
      <protection locked="0"/>
    </xf>
    <xf numFmtId="0" fontId="16" fillId="0" borderId="12" xfId="0" applyFont="1" applyBorder="1" applyAlignment="1" applyProtection="1">
      <alignment horizontal="justify" vertical="center" wrapText="1"/>
      <protection locked="0"/>
    </xf>
    <xf numFmtId="0" fontId="16" fillId="0" borderId="19" xfId="0" applyFont="1" applyBorder="1" applyAlignment="1" applyProtection="1">
      <alignment horizontal="justify" vertical="center" wrapText="1"/>
      <protection locked="0"/>
    </xf>
    <xf numFmtId="0" fontId="16" fillId="0" borderId="17" xfId="0" applyFont="1" applyBorder="1" applyAlignment="1" applyProtection="1">
      <alignment horizontal="justify" vertical="center" wrapText="1"/>
      <protection locked="0"/>
    </xf>
    <xf numFmtId="9" fontId="29" fillId="18" borderId="124" xfId="6" applyFont="1" applyFill="1" applyBorder="1" applyAlignment="1" applyProtection="1">
      <alignment horizontal="center" vertical="center" wrapText="1"/>
    </xf>
    <xf numFmtId="9" fontId="25" fillId="2" borderId="3" xfId="6" applyFont="1" applyFill="1" applyBorder="1" applyAlignment="1" applyProtection="1">
      <alignment horizontal="center" vertical="center"/>
      <protection locked="0"/>
    </xf>
    <xf numFmtId="0" fontId="46" fillId="3" borderId="19" xfId="3" applyFont="1" applyFill="1" applyBorder="1" applyAlignment="1">
      <alignment horizontal="center" vertical="center"/>
    </xf>
    <xf numFmtId="49" fontId="47" fillId="2" borderId="0" xfId="3" applyNumberFormat="1" applyFont="1" applyFill="1" applyAlignment="1" applyProtection="1">
      <alignment vertical="center"/>
      <protection locked="0"/>
    </xf>
    <xf numFmtId="49" fontId="48" fillId="2" borderId="0" xfId="3" applyNumberFormat="1" applyFont="1" applyFill="1" applyAlignment="1" applyProtection="1">
      <alignment vertical="center"/>
      <protection locked="0"/>
    </xf>
    <xf numFmtId="0" fontId="47" fillId="2" borderId="0" xfId="0" applyFont="1" applyFill="1"/>
    <xf numFmtId="0" fontId="26" fillId="2" borderId="158" xfId="3" applyFont="1" applyFill="1" applyBorder="1" applyAlignment="1" applyProtection="1">
      <alignment horizontal="left" vertical="top" wrapText="1"/>
      <protection hidden="1"/>
    </xf>
    <xf numFmtId="0" fontId="16" fillId="2" borderId="1" xfId="3" applyFont="1" applyFill="1" applyBorder="1" applyAlignment="1" applyProtection="1">
      <alignment horizontal="center" vertical="center" wrapText="1"/>
      <protection hidden="1"/>
    </xf>
    <xf numFmtId="0" fontId="16" fillId="2" borderId="159" xfId="3" applyFont="1" applyFill="1" applyBorder="1" applyAlignment="1" applyProtection="1">
      <alignment horizontal="center" vertical="center" wrapText="1"/>
      <protection hidden="1"/>
    </xf>
    <xf numFmtId="0" fontId="16" fillId="2" borderId="70" xfId="3" applyFont="1" applyFill="1" applyBorder="1" applyAlignment="1" applyProtection="1">
      <alignment horizontal="center" vertical="center" wrapText="1"/>
      <protection hidden="1"/>
    </xf>
    <xf numFmtId="1" fontId="16" fillId="2" borderId="1" xfId="3" applyNumberFormat="1" applyFont="1" applyFill="1" applyBorder="1" applyAlignment="1" applyProtection="1">
      <alignment horizontal="center" vertical="center" wrapText="1"/>
      <protection hidden="1"/>
    </xf>
    <xf numFmtId="0" fontId="16" fillId="0" borderId="0" xfId="0" applyFont="1" applyAlignment="1" applyProtection="1">
      <alignment horizontal="justify" vertical="center" wrapText="1"/>
      <protection locked="0"/>
    </xf>
    <xf numFmtId="0" fontId="16" fillId="0" borderId="145" xfId="0" applyFont="1" applyBorder="1" applyAlignment="1" applyProtection="1">
      <alignment horizontal="justify" vertical="center" wrapText="1"/>
      <protection locked="0"/>
    </xf>
    <xf numFmtId="0" fontId="16" fillId="2" borderId="0" xfId="0" applyFont="1" applyFill="1" applyAlignment="1">
      <alignment horizontal="center" vertical="center"/>
    </xf>
    <xf numFmtId="0" fontId="16" fillId="2" borderId="17" xfId="0" applyFont="1" applyFill="1" applyBorder="1" applyAlignment="1" applyProtection="1">
      <alignment horizontal="justify" vertical="center" wrapText="1"/>
      <protection locked="0"/>
    </xf>
    <xf numFmtId="0" fontId="16" fillId="2" borderId="12" xfId="0" applyFont="1" applyFill="1" applyBorder="1" applyAlignment="1" applyProtection="1">
      <alignment horizontal="justify" vertical="center" wrapText="1"/>
      <protection locked="0"/>
    </xf>
    <xf numFmtId="0" fontId="17" fillId="2" borderId="12" xfId="0" applyFont="1" applyFill="1" applyBorder="1" applyAlignment="1" applyProtection="1">
      <alignment horizontal="justify" vertical="center"/>
      <protection locked="0"/>
    </xf>
    <xf numFmtId="0" fontId="17" fillId="2" borderId="19" xfId="0" applyFont="1" applyFill="1" applyBorder="1" applyAlignment="1" applyProtection="1">
      <alignment horizontal="justify" vertical="center"/>
      <protection locked="0"/>
    </xf>
    <xf numFmtId="0" fontId="14" fillId="2" borderId="17" xfId="0" applyFont="1" applyFill="1" applyBorder="1" applyAlignment="1" applyProtection="1">
      <alignment horizontal="justify" vertical="center" wrapText="1"/>
      <protection locked="0"/>
    </xf>
    <xf numFmtId="0" fontId="16" fillId="2" borderId="12" xfId="0" applyFont="1" applyFill="1" applyBorder="1" applyAlignment="1" applyProtection="1">
      <alignment horizontal="justify" vertical="center"/>
      <protection locked="0"/>
    </xf>
    <xf numFmtId="0" fontId="16" fillId="2" borderId="19" xfId="0" applyFont="1" applyFill="1" applyBorder="1" applyAlignment="1" applyProtection="1">
      <alignment horizontal="justify" vertical="center"/>
      <protection locked="0"/>
    </xf>
    <xf numFmtId="0" fontId="16" fillId="2" borderId="19" xfId="0" applyFont="1" applyFill="1" applyBorder="1" applyAlignment="1" applyProtection="1">
      <alignment horizontal="justify" vertical="center" wrapText="1"/>
      <protection locked="0"/>
    </xf>
    <xf numFmtId="0" fontId="16" fillId="2" borderId="0" xfId="0" applyFont="1" applyFill="1" applyAlignment="1" applyProtection="1">
      <alignment horizontal="justify" vertical="center" wrapText="1"/>
      <protection locked="0"/>
    </xf>
    <xf numFmtId="0" fontId="16" fillId="2" borderId="0" xfId="0" applyFont="1" applyFill="1" applyAlignment="1">
      <alignment horizontal="justify"/>
    </xf>
    <xf numFmtId="0" fontId="17" fillId="2" borderId="19" xfId="0" applyFont="1" applyFill="1" applyBorder="1" applyAlignment="1" applyProtection="1">
      <alignment horizontal="justify" vertical="center" wrapText="1"/>
      <protection locked="0"/>
    </xf>
    <xf numFmtId="9" fontId="25" fillId="2" borderId="3" xfId="6" applyFont="1" applyFill="1" applyBorder="1" applyAlignment="1" applyProtection="1">
      <alignment horizontal="center" vertical="center" wrapText="1"/>
      <protection locked="0"/>
    </xf>
    <xf numFmtId="9" fontId="25" fillId="2" borderId="3" xfId="3" applyNumberFormat="1" applyFont="1" applyFill="1" applyBorder="1" applyAlignment="1" applyProtection="1">
      <alignment horizontal="center" vertical="center" wrapText="1"/>
      <protection locked="0"/>
    </xf>
    <xf numFmtId="9" fontId="51" fillId="2" borderId="0" xfId="6" applyFont="1" applyFill="1" applyAlignment="1" applyProtection="1">
      <alignment horizontal="center" vertical="center" wrapText="1"/>
      <protection locked="0"/>
    </xf>
    <xf numFmtId="9" fontId="51" fillId="2" borderId="1" xfId="6" applyFont="1" applyFill="1" applyBorder="1" applyAlignment="1" applyProtection="1">
      <alignment horizontal="center" vertical="center" wrapText="1"/>
      <protection locked="0"/>
    </xf>
    <xf numFmtId="9" fontId="52" fillId="2" borderId="3" xfId="6" applyFont="1" applyFill="1" applyBorder="1" applyAlignment="1" applyProtection="1">
      <alignment horizontal="center" vertical="center" wrapText="1"/>
      <protection locked="0"/>
    </xf>
    <xf numFmtId="9" fontId="51" fillId="2" borderId="3" xfId="6" applyFont="1" applyFill="1" applyBorder="1" applyAlignment="1" applyProtection="1">
      <alignment horizontal="center" vertical="center" wrapText="1"/>
      <protection locked="0"/>
    </xf>
    <xf numFmtId="0" fontId="51" fillId="2" borderId="1" xfId="3" applyFont="1" applyFill="1" applyBorder="1" applyAlignment="1" applyProtection="1">
      <alignment vertical="center"/>
      <protection locked="0"/>
    </xf>
    <xf numFmtId="9" fontId="51" fillId="2" borderId="131" xfId="3" applyNumberFormat="1" applyFont="1" applyFill="1" applyBorder="1" applyAlignment="1" applyProtection="1">
      <alignment horizontal="center" vertical="center" wrapText="1"/>
      <protection locked="0"/>
    </xf>
    <xf numFmtId="9" fontId="51" fillId="2" borderId="4" xfId="3" applyNumberFormat="1" applyFont="1" applyFill="1" applyBorder="1" applyAlignment="1" applyProtection="1">
      <alignment horizontal="center" vertical="center" wrapText="1"/>
      <protection locked="0"/>
    </xf>
    <xf numFmtId="9" fontId="51" fillId="2" borderId="3" xfId="3" applyNumberFormat="1" applyFont="1" applyFill="1" applyBorder="1" applyAlignment="1" applyProtection="1">
      <alignment horizontal="center" vertical="center" wrapText="1"/>
      <protection locked="0"/>
    </xf>
    <xf numFmtId="9" fontId="51" fillId="2" borderId="4" xfId="6" applyFont="1" applyFill="1" applyBorder="1" applyAlignment="1" applyProtection="1">
      <alignment horizontal="center" vertical="center"/>
      <protection locked="0"/>
    </xf>
    <xf numFmtId="0" fontId="51" fillId="2" borderId="4" xfId="3" applyFont="1" applyFill="1" applyBorder="1" applyAlignment="1" applyProtection="1">
      <alignment vertical="center"/>
      <protection locked="0"/>
    </xf>
    <xf numFmtId="9" fontId="51" fillId="2" borderId="1" xfId="6" applyFont="1" applyFill="1" applyBorder="1" applyAlignment="1" applyProtection="1">
      <alignment horizontal="center" vertical="center"/>
      <protection locked="0"/>
    </xf>
    <xf numFmtId="9" fontId="51" fillId="2" borderId="4" xfId="6" applyFont="1" applyFill="1" applyBorder="1" applyAlignment="1" applyProtection="1">
      <alignment horizontal="center" vertical="center" wrapText="1"/>
      <protection locked="0"/>
    </xf>
    <xf numFmtId="9" fontId="51" fillId="2" borderId="0" xfId="6" applyFont="1" applyFill="1" applyAlignment="1">
      <alignment horizontal="center" wrapText="1"/>
    </xf>
    <xf numFmtId="0" fontId="14" fillId="0" borderId="17" xfId="0" applyFont="1" applyBorder="1" applyAlignment="1" applyProtection="1">
      <alignment horizontal="justify" vertical="center" wrapText="1"/>
      <protection locked="0"/>
    </xf>
    <xf numFmtId="0" fontId="14" fillId="0" borderId="12" xfId="0" applyFont="1" applyBorder="1" applyAlignment="1" applyProtection="1">
      <alignment horizontal="justify" vertical="center" wrapText="1"/>
      <protection locked="0"/>
    </xf>
    <xf numFmtId="0" fontId="14" fillId="0" borderId="19" xfId="0" applyFont="1" applyBorder="1" applyAlignment="1" applyProtection="1">
      <alignment horizontal="justify" vertical="center" wrapText="1"/>
      <protection locked="0"/>
    </xf>
    <xf numFmtId="0" fontId="49" fillId="2" borderId="1" xfId="0" applyFont="1" applyFill="1" applyBorder="1" applyAlignment="1">
      <alignment vertical="center" wrapText="1"/>
    </xf>
    <xf numFmtId="9" fontId="53" fillId="2" borderId="1" xfId="6" applyFont="1" applyFill="1" applyBorder="1" applyAlignment="1" applyProtection="1">
      <alignment horizontal="center" vertical="center" wrapText="1"/>
      <protection locked="0"/>
    </xf>
    <xf numFmtId="0" fontId="50" fillId="2" borderId="1" xfId="3" applyFont="1" applyFill="1" applyBorder="1" applyAlignment="1" applyProtection="1">
      <alignment horizontal="center" vertical="center" wrapText="1"/>
      <protection locked="0"/>
    </xf>
    <xf numFmtId="0" fontId="16" fillId="0" borderId="17" xfId="0" applyFont="1" applyBorder="1" applyAlignment="1" applyProtection="1">
      <alignment horizontal="left" vertical="center" wrapText="1"/>
      <protection locked="0"/>
    </xf>
    <xf numFmtId="0" fontId="16" fillId="2" borderId="0" xfId="0" applyFont="1" applyFill="1" applyAlignment="1">
      <alignment horizontal="justify" wrapText="1"/>
    </xf>
    <xf numFmtId="0" fontId="54" fillId="2" borderId="0" xfId="0" applyFont="1" applyFill="1"/>
    <xf numFmtId="0" fontId="54" fillId="2" borderId="51" xfId="0" applyFont="1" applyFill="1" applyBorder="1"/>
    <xf numFmtId="0" fontId="54" fillId="2" borderId="52" xfId="0" applyFont="1" applyFill="1" applyBorder="1"/>
    <xf numFmtId="0" fontId="54" fillId="2" borderId="53" xfId="0" applyFont="1" applyFill="1" applyBorder="1"/>
    <xf numFmtId="0" fontId="54" fillId="2" borderId="54" xfId="0" applyFont="1" applyFill="1" applyBorder="1"/>
    <xf numFmtId="0" fontId="57" fillId="2" borderId="0" xfId="0" applyFont="1" applyFill="1" applyAlignment="1">
      <alignment horizontal="center"/>
    </xf>
    <xf numFmtId="0" fontId="54" fillId="2" borderId="55" xfId="0" applyFont="1" applyFill="1" applyBorder="1"/>
    <xf numFmtId="0" fontId="55" fillId="3" borderId="1" xfId="0" applyFont="1" applyFill="1" applyBorder="1" applyAlignment="1">
      <alignment horizontal="center" vertical="center"/>
    </xf>
    <xf numFmtId="164" fontId="57" fillId="2" borderId="0" xfId="0" applyNumberFormat="1" applyFont="1" applyFill="1" applyAlignment="1">
      <alignment horizontal="center"/>
    </xf>
    <xf numFmtId="0" fontId="59" fillId="2" borderId="0" xfId="0" applyFont="1" applyFill="1" applyAlignment="1">
      <alignment vertical="center"/>
    </xf>
    <xf numFmtId="9" fontId="61" fillId="2" borderId="90" xfId="0" applyNumberFormat="1" applyFont="1" applyFill="1" applyBorder="1" applyAlignment="1" applyProtection="1">
      <alignment horizontal="center" vertical="center"/>
      <protection hidden="1"/>
    </xf>
    <xf numFmtId="0" fontId="62" fillId="2" borderId="0" xfId="0" applyFont="1" applyFill="1" applyAlignment="1">
      <alignment horizontal="center" vertical="center"/>
    </xf>
    <xf numFmtId="0" fontId="63" fillId="2" borderId="0" xfId="0" applyFont="1" applyFill="1"/>
    <xf numFmtId="0" fontId="64" fillId="2" borderId="0" xfId="0" applyFont="1" applyFill="1" applyAlignment="1">
      <alignment horizontal="center" vertical="center"/>
    </xf>
    <xf numFmtId="0" fontId="65" fillId="2" borderId="0" xfId="0" applyFont="1" applyFill="1" applyAlignment="1">
      <alignment horizontal="center" vertical="center"/>
    </xf>
    <xf numFmtId="49" fontId="54" fillId="2" borderId="0" xfId="0" applyNumberFormat="1" applyFont="1" applyFill="1" applyAlignment="1">
      <alignment horizontal="left" vertical="top" wrapText="1"/>
    </xf>
    <xf numFmtId="0" fontId="68" fillId="2" borderId="0" xfId="0" applyFont="1" applyFill="1" applyAlignment="1">
      <alignment wrapText="1"/>
    </xf>
    <xf numFmtId="0" fontId="64" fillId="17" borderId="45" xfId="0" applyFont="1" applyFill="1" applyBorder="1" applyAlignment="1">
      <alignment horizontal="center" vertical="center" wrapText="1"/>
    </xf>
    <xf numFmtId="0" fontId="65" fillId="0" borderId="0" xfId="0" applyFont="1" applyAlignment="1">
      <alignment horizontal="center" vertical="center" wrapText="1"/>
    </xf>
    <xf numFmtId="0" fontId="69" fillId="17" borderId="45" xfId="0" applyFont="1" applyFill="1" applyBorder="1" applyAlignment="1">
      <alignment horizontal="center" vertical="center" wrapText="1"/>
    </xf>
    <xf numFmtId="0" fontId="55" fillId="17" borderId="45" xfId="0" applyFont="1" applyFill="1" applyBorder="1" applyAlignment="1">
      <alignment horizontal="center" vertical="center" wrapText="1"/>
    </xf>
    <xf numFmtId="0" fontId="63" fillId="2" borderId="0" xfId="0" applyFont="1" applyFill="1" applyAlignment="1">
      <alignment horizontal="center" vertical="center" wrapText="1"/>
    </xf>
    <xf numFmtId="0" fontId="69" fillId="3" borderId="80" xfId="0" applyFont="1" applyFill="1" applyBorder="1" applyAlignment="1">
      <alignment horizontal="center" vertical="center" wrapText="1"/>
    </xf>
    <xf numFmtId="0" fontId="71" fillId="3" borderId="90" xfId="0" applyFont="1" applyFill="1" applyBorder="1" applyAlignment="1">
      <alignment horizontal="center" vertical="center" wrapText="1"/>
    </xf>
    <xf numFmtId="0" fontId="72" fillId="3" borderId="90" xfId="0" applyFont="1" applyFill="1" applyBorder="1" applyAlignment="1">
      <alignment horizontal="center" vertical="center" wrapText="1"/>
    </xf>
    <xf numFmtId="0" fontId="73" fillId="2" borderId="0" xfId="0" applyFont="1" applyFill="1" applyAlignment="1">
      <alignment wrapText="1"/>
    </xf>
    <xf numFmtId="0" fontId="74" fillId="0" borderId="0" xfId="0" applyFont="1" applyAlignment="1">
      <alignment horizontal="center" wrapText="1"/>
    </xf>
    <xf numFmtId="0" fontId="54" fillId="0" borderId="0" xfId="0" applyFont="1"/>
    <xf numFmtId="0" fontId="54" fillId="0" borderId="81" xfId="0" applyFont="1" applyBorder="1"/>
    <xf numFmtId="0" fontId="64" fillId="6" borderId="1" xfId="0" applyFont="1" applyFill="1" applyBorder="1" applyAlignment="1">
      <alignment horizontal="center" vertical="center" wrapText="1"/>
    </xf>
    <xf numFmtId="0" fontId="72" fillId="0" borderId="0" xfId="0" applyFont="1" applyAlignment="1">
      <alignment vertical="center"/>
    </xf>
    <xf numFmtId="0" fontId="75" fillId="0" borderId="1" xfId="0" applyFont="1" applyBorder="1" applyAlignment="1" applyProtection="1">
      <alignment horizontal="center" vertical="center"/>
      <protection hidden="1"/>
    </xf>
    <xf numFmtId="9" fontId="65" fillId="0" borderId="0" xfId="0" applyNumberFormat="1" applyFont="1" applyAlignment="1">
      <alignment vertical="center"/>
    </xf>
    <xf numFmtId="9" fontId="76" fillId="16" borderId="1" xfId="0" applyNumberFormat="1" applyFont="1" applyFill="1" applyBorder="1" applyAlignment="1" applyProtection="1">
      <alignment horizontal="center" vertical="center"/>
      <protection hidden="1"/>
    </xf>
    <xf numFmtId="0" fontId="65" fillId="0" borderId="0" xfId="0" applyFont="1" applyAlignment="1">
      <alignment vertical="center"/>
    </xf>
    <xf numFmtId="9" fontId="76" fillId="16" borderId="1" xfId="0" applyNumberFormat="1" applyFont="1" applyFill="1" applyBorder="1" applyAlignment="1" applyProtection="1">
      <alignment horizontal="center" vertical="center"/>
      <protection locked="0" hidden="1"/>
    </xf>
    <xf numFmtId="0" fontId="65" fillId="0" borderId="70" xfId="0" applyFont="1" applyBorder="1" applyAlignment="1">
      <alignment vertical="center"/>
    </xf>
    <xf numFmtId="0" fontId="65" fillId="0" borderId="0" xfId="0" applyFont="1" applyAlignment="1">
      <alignment horizontal="left" vertical="center"/>
    </xf>
    <xf numFmtId="9" fontId="65" fillId="0" borderId="1" xfId="0" applyNumberFormat="1" applyFont="1" applyBorder="1" applyAlignment="1" applyProtection="1">
      <alignment horizontal="center" vertical="center"/>
      <protection locked="0"/>
    </xf>
    <xf numFmtId="0" fontId="65" fillId="2" borderId="55" xfId="0" applyFont="1" applyFill="1" applyBorder="1" applyAlignment="1">
      <alignment vertical="center"/>
    </xf>
    <xf numFmtId="0" fontId="65" fillId="2" borderId="0" xfId="0" applyFont="1" applyFill="1" applyAlignment="1">
      <alignment vertical="center"/>
    </xf>
    <xf numFmtId="0" fontId="74" fillId="0" borderId="0" xfId="0" applyFont="1" applyAlignment="1">
      <alignment horizontal="center"/>
    </xf>
    <xf numFmtId="0" fontId="54" fillId="0" borderId="1" xfId="0" applyFont="1" applyBorder="1"/>
    <xf numFmtId="0" fontId="54" fillId="0" borderId="0" xfId="0" applyFont="1" applyAlignment="1">
      <alignment horizontal="left"/>
    </xf>
    <xf numFmtId="0" fontId="54" fillId="0" borderId="1" xfId="0" applyFont="1" applyBorder="1" applyAlignment="1">
      <alignment horizontal="left"/>
    </xf>
    <xf numFmtId="0" fontId="64" fillId="5" borderId="1" xfId="0" applyFont="1" applyFill="1" applyBorder="1" applyAlignment="1">
      <alignment horizontal="center" vertical="center" wrapText="1"/>
    </xf>
    <xf numFmtId="0" fontId="54" fillId="0" borderId="70" xfId="0" applyFont="1" applyBorder="1"/>
    <xf numFmtId="0" fontId="64" fillId="3" borderId="1" xfId="0" applyFont="1" applyFill="1" applyBorder="1" applyAlignment="1">
      <alignment horizontal="center" vertical="center" wrapText="1"/>
    </xf>
    <xf numFmtId="0" fontId="64" fillId="7" borderId="1" xfId="0" applyFont="1" applyFill="1" applyBorder="1" applyAlignment="1">
      <alignment horizontal="center" vertical="center" wrapText="1"/>
    </xf>
    <xf numFmtId="0" fontId="64" fillId="11" borderId="1" xfId="0" applyFont="1" applyFill="1" applyBorder="1" applyAlignment="1">
      <alignment horizontal="center" vertical="center" wrapText="1"/>
    </xf>
    <xf numFmtId="0" fontId="72" fillId="2" borderId="0" xfId="0" applyFont="1" applyFill="1" applyAlignment="1">
      <alignment vertical="center"/>
    </xf>
    <xf numFmtId="0" fontId="65" fillId="2" borderId="0" xfId="0" applyFont="1" applyFill="1" applyAlignment="1">
      <alignment horizontal="left" vertical="center"/>
    </xf>
    <xf numFmtId="0" fontId="77" fillId="2" borderId="0" xfId="0" applyFont="1" applyFill="1" applyAlignment="1">
      <alignment vertical="center"/>
    </xf>
    <xf numFmtId="0" fontId="78" fillId="2" borderId="0" xfId="0" applyFont="1" applyFill="1"/>
    <xf numFmtId="0" fontId="54" fillId="2" borderId="56" xfId="0" applyFont="1" applyFill="1" applyBorder="1"/>
    <xf numFmtId="0" fontId="54" fillId="2" borderId="57" xfId="0" applyFont="1" applyFill="1" applyBorder="1"/>
    <xf numFmtId="0" fontId="54" fillId="2" borderId="58" xfId="0" applyFont="1" applyFill="1" applyBorder="1"/>
    <xf numFmtId="0" fontId="10" fillId="0" borderId="17"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2" borderId="99" xfId="0" applyFont="1" applyFill="1" applyBorder="1" applyAlignment="1" applyProtection="1">
      <alignment horizontal="center" vertical="center"/>
      <protection locked="0"/>
    </xf>
    <xf numFmtId="0" fontId="14" fillId="2" borderId="98" xfId="0" applyFont="1" applyFill="1" applyBorder="1" applyAlignment="1" applyProtection="1">
      <alignment horizontal="justify" vertical="center" wrapText="1"/>
      <protection locked="0"/>
    </xf>
    <xf numFmtId="0" fontId="10" fillId="2" borderId="12" xfId="0" applyFont="1" applyFill="1" applyBorder="1" applyAlignment="1" applyProtection="1">
      <alignment horizontal="center" vertical="center"/>
      <protection locked="0"/>
    </xf>
    <xf numFmtId="0" fontId="10" fillId="2" borderId="153" xfId="0" applyFont="1" applyFill="1" applyBorder="1" applyAlignment="1" applyProtection="1">
      <alignment horizontal="center" vertical="center"/>
      <protection locked="0"/>
    </xf>
    <xf numFmtId="0" fontId="14" fillId="2" borderId="156" xfId="0" applyFont="1" applyFill="1" applyBorder="1" applyAlignment="1" applyProtection="1">
      <alignment horizontal="justify" vertical="center" wrapText="1"/>
      <protection locked="0"/>
    </xf>
    <xf numFmtId="0" fontId="79" fillId="0" borderId="98" xfId="0" applyFont="1" applyBorder="1" applyAlignment="1" applyProtection="1">
      <alignment horizontal="justify" vertical="center" wrapText="1"/>
      <protection locked="0"/>
    </xf>
    <xf numFmtId="0" fontId="80" fillId="2" borderId="12" xfId="0" applyFont="1" applyFill="1" applyBorder="1" applyAlignment="1" applyProtection="1">
      <alignment horizontal="center" vertical="center" wrapText="1"/>
      <protection locked="0"/>
    </xf>
    <xf numFmtId="0" fontId="79" fillId="2" borderId="12" xfId="0" applyFont="1" applyFill="1" applyBorder="1" applyAlignment="1" applyProtection="1">
      <alignment horizontal="center" vertical="center" wrapText="1"/>
      <protection locked="0"/>
    </xf>
    <xf numFmtId="0" fontId="81" fillId="2" borderId="17" xfId="0" applyFont="1" applyFill="1" applyBorder="1" applyAlignment="1" applyProtection="1">
      <alignment horizontal="center" vertical="center"/>
      <protection locked="0"/>
    </xf>
    <xf numFmtId="0" fontId="79" fillId="2" borderId="17" xfId="0" applyFont="1" applyFill="1" applyBorder="1" applyAlignment="1" applyProtection="1">
      <alignment horizontal="justify" vertical="center" wrapText="1"/>
      <protection locked="0"/>
    </xf>
    <xf numFmtId="0" fontId="81" fillId="2" borderId="12" xfId="0" applyFont="1" applyFill="1" applyBorder="1" applyAlignment="1" applyProtection="1">
      <alignment horizontal="center" vertical="center"/>
      <protection locked="0"/>
    </xf>
    <xf numFmtId="0" fontId="79" fillId="2" borderId="12" xfId="0" applyFont="1" applyFill="1" applyBorder="1" applyAlignment="1" applyProtection="1">
      <alignment horizontal="justify" vertical="center" wrapText="1"/>
      <protection locked="0"/>
    </xf>
    <xf numFmtId="0" fontId="79" fillId="2" borderId="19" xfId="0" applyFont="1" applyFill="1" applyBorder="1" applyAlignment="1" applyProtection="1">
      <alignment horizontal="center" vertical="center" wrapText="1"/>
      <protection locked="0"/>
    </xf>
    <xf numFmtId="0" fontId="81" fillId="2" borderId="19" xfId="0" applyFont="1" applyFill="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6" fillId="2" borderId="1" xfId="0" applyFont="1" applyFill="1" applyBorder="1" applyAlignment="1">
      <alignment wrapText="1"/>
    </xf>
    <xf numFmtId="0" fontId="14" fillId="2" borderId="12" xfId="0" applyFont="1" applyFill="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0" fontId="16" fillId="2" borderId="12" xfId="0" applyFont="1" applyFill="1" applyBorder="1" applyAlignment="1" applyProtection="1">
      <alignment horizontal="left" vertical="center"/>
      <protection locked="0"/>
    </xf>
    <xf numFmtId="41" fontId="16" fillId="2" borderId="12" xfId="7" applyFont="1" applyFill="1" applyBorder="1" applyAlignment="1" applyProtection="1">
      <alignment horizontal="left" vertical="center"/>
      <protection locked="0"/>
    </xf>
    <xf numFmtId="0" fontId="14" fillId="2" borderId="12" xfId="0" applyFont="1" applyFill="1" applyBorder="1" applyAlignment="1" applyProtection="1">
      <alignment horizontal="left" vertical="center"/>
      <protection locked="0"/>
    </xf>
    <xf numFmtId="9" fontId="17" fillId="14" borderId="1" xfId="6" applyFont="1" applyFill="1" applyBorder="1" applyAlignment="1" applyProtection="1">
      <alignment horizontal="center" vertical="center"/>
      <protection hidden="1"/>
    </xf>
    <xf numFmtId="0" fontId="14" fillId="2" borderId="99" xfId="0"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4" fillId="2" borderId="19"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left" vertical="center" wrapText="1"/>
      <protection locked="0"/>
    </xf>
    <xf numFmtId="0" fontId="14" fillId="2" borderId="12" xfId="0" applyFont="1" applyFill="1" applyBorder="1" applyAlignment="1" applyProtection="1">
      <alignment vertical="center"/>
      <protection locked="0"/>
    </xf>
    <xf numFmtId="0" fontId="14" fillId="0" borderId="12" xfId="0" applyFont="1" applyBorder="1" applyAlignment="1" applyProtection="1">
      <alignment vertical="center" wrapText="1"/>
      <protection locked="0"/>
    </xf>
    <xf numFmtId="0" fontId="6" fillId="2" borderId="1" xfId="3" applyFont="1" applyFill="1" applyBorder="1" applyAlignment="1" applyProtection="1">
      <alignment vertical="center" wrapText="1"/>
      <protection locked="0"/>
    </xf>
    <xf numFmtId="0" fontId="6" fillId="2" borderId="3" xfId="3" applyFont="1" applyFill="1" applyBorder="1" applyAlignment="1" applyProtection="1">
      <alignment horizontal="center" vertical="center" wrapText="1"/>
      <protection locked="0"/>
    </xf>
    <xf numFmtId="9" fontId="82" fillId="2" borderId="3" xfId="6" applyFont="1" applyFill="1" applyBorder="1" applyAlignment="1" applyProtection="1">
      <alignment horizontal="center" vertical="center" wrapText="1"/>
      <protection locked="0"/>
    </xf>
    <xf numFmtId="9" fontId="82" fillId="2" borderId="4" xfId="6" applyFont="1" applyFill="1" applyBorder="1" applyAlignment="1" applyProtection="1">
      <alignment horizontal="center" vertical="center" wrapText="1"/>
      <protection locked="0"/>
    </xf>
    <xf numFmtId="0" fontId="6" fillId="2" borderId="1" xfId="3" applyFont="1" applyFill="1" applyBorder="1" applyAlignment="1" applyProtection="1">
      <alignment horizontal="justify" vertical="center" wrapText="1"/>
      <protection locked="0"/>
    </xf>
    <xf numFmtId="0" fontId="25" fillId="14" borderId="0" xfId="3" applyFont="1" applyFill="1" applyAlignment="1" applyProtection="1">
      <alignment vertical="center"/>
      <protection locked="0"/>
    </xf>
    <xf numFmtId="0" fontId="6" fillId="2" borderId="4" xfId="3" applyFont="1" applyFill="1" applyBorder="1" applyAlignment="1" applyProtection="1">
      <alignment vertical="center" wrapText="1"/>
      <protection locked="0"/>
    </xf>
    <xf numFmtId="0" fontId="6" fillId="2" borderId="1" xfId="3" applyFont="1" applyFill="1" applyBorder="1" applyAlignment="1" applyProtection="1">
      <alignment horizontal="center" vertical="center" wrapText="1"/>
      <protection locked="0"/>
    </xf>
    <xf numFmtId="9" fontId="83" fillId="2" borderId="1" xfId="6" applyFont="1" applyFill="1" applyBorder="1" applyAlignment="1" applyProtection="1">
      <alignment horizontal="center" vertical="center" wrapText="1"/>
      <protection locked="0"/>
    </xf>
    <xf numFmtId="9" fontId="6" fillId="2" borderId="1" xfId="6" applyFont="1" applyFill="1" applyBorder="1" applyAlignment="1" applyProtection="1">
      <alignment horizontal="center" vertical="center" wrapText="1"/>
      <protection locked="0"/>
    </xf>
    <xf numFmtId="9" fontId="82" fillId="2" borderId="1" xfId="6" applyFont="1" applyFill="1" applyBorder="1" applyAlignment="1" applyProtection="1">
      <alignment horizontal="center" vertical="center" wrapText="1"/>
      <protection locked="0"/>
    </xf>
    <xf numFmtId="0" fontId="31" fillId="2" borderId="0" xfId="3" applyFont="1" applyFill="1" applyAlignment="1" applyProtection="1">
      <alignment vertical="center"/>
      <protection locked="0"/>
    </xf>
    <xf numFmtId="0" fontId="16" fillId="21" borderId="1" xfId="3" applyFont="1" applyFill="1" applyBorder="1" applyAlignment="1" applyProtection="1">
      <alignment horizontal="center" vertical="center" wrapText="1"/>
      <protection hidden="1"/>
    </xf>
    <xf numFmtId="0" fontId="16" fillId="21" borderId="70" xfId="3" applyFont="1" applyFill="1" applyBorder="1" applyAlignment="1" applyProtection="1">
      <alignment horizontal="center" vertical="center" wrapText="1"/>
      <protection hidden="1"/>
    </xf>
    <xf numFmtId="0" fontId="26" fillId="21" borderId="158" xfId="3" applyFont="1" applyFill="1" applyBorder="1" applyAlignment="1" applyProtection="1">
      <alignment horizontal="left" vertical="top" wrapText="1"/>
      <protection hidden="1"/>
    </xf>
    <xf numFmtId="0" fontId="26" fillId="21" borderId="79" xfId="3" applyFont="1" applyFill="1" applyBorder="1" applyAlignment="1" applyProtection="1">
      <alignment horizontal="left" vertical="top" wrapText="1"/>
      <protection hidden="1"/>
    </xf>
    <xf numFmtId="0" fontId="26" fillId="21" borderId="79" xfId="3" applyFont="1" applyFill="1" applyBorder="1" applyAlignment="1" applyProtection="1">
      <alignment horizontal="center" vertical="center" wrapText="1"/>
      <protection hidden="1"/>
    </xf>
    <xf numFmtId="0" fontId="26" fillId="21" borderId="96" xfId="3" applyFont="1" applyFill="1" applyBorder="1" applyAlignment="1" applyProtection="1">
      <alignment horizontal="center" vertical="center" wrapText="1"/>
      <protection hidden="1"/>
    </xf>
    <xf numFmtId="0" fontId="26" fillId="21" borderId="122" xfId="3" applyFont="1" applyFill="1" applyBorder="1" applyAlignment="1" applyProtection="1">
      <alignment horizontal="center" vertical="center" wrapText="1"/>
      <protection hidden="1"/>
    </xf>
    <xf numFmtId="0" fontId="31" fillId="21" borderId="0" xfId="3" applyFont="1" applyFill="1" applyAlignment="1" applyProtection="1">
      <alignment vertical="center"/>
      <protection locked="0"/>
    </xf>
    <xf numFmtId="9" fontId="25" fillId="21" borderId="1" xfId="6" applyFont="1" applyFill="1" applyBorder="1" applyAlignment="1" applyProtection="1">
      <alignment horizontal="center" vertical="center" wrapText="1"/>
      <protection locked="0"/>
    </xf>
    <xf numFmtId="0" fontId="25" fillId="21" borderId="0" xfId="3" applyFont="1" applyFill="1" applyAlignment="1" applyProtection="1">
      <alignment vertical="center"/>
      <protection locked="0"/>
    </xf>
    <xf numFmtId="1" fontId="16" fillId="21" borderId="1" xfId="3" applyNumberFormat="1" applyFont="1" applyFill="1" applyBorder="1" applyAlignment="1" applyProtection="1">
      <alignment horizontal="center" vertical="center" wrapText="1"/>
      <protection hidden="1"/>
    </xf>
    <xf numFmtId="0" fontId="6" fillId="21" borderId="1" xfId="3" applyFont="1" applyFill="1" applyBorder="1" applyAlignment="1" applyProtection="1">
      <alignment vertical="center" wrapText="1"/>
      <protection locked="0"/>
    </xf>
    <xf numFmtId="0" fontId="6" fillId="21" borderId="4" xfId="3" applyFont="1" applyFill="1" applyBorder="1" applyAlignment="1" applyProtection="1">
      <alignment vertical="center" wrapText="1"/>
      <protection locked="0"/>
    </xf>
    <xf numFmtId="0" fontId="6" fillId="21" borderId="1" xfId="3" applyFont="1" applyFill="1" applyBorder="1" applyAlignment="1" applyProtection="1">
      <alignment horizontal="center" vertical="center" wrapText="1"/>
      <protection locked="0"/>
    </xf>
    <xf numFmtId="0" fontId="6" fillId="21" borderId="3" xfId="3" applyFont="1" applyFill="1" applyBorder="1" applyAlignment="1" applyProtection="1">
      <alignment horizontal="center" vertical="center" wrapText="1"/>
      <protection locked="0"/>
    </xf>
    <xf numFmtId="9" fontId="82" fillId="21" borderId="4" xfId="6" applyFont="1" applyFill="1" applyBorder="1" applyAlignment="1" applyProtection="1">
      <alignment horizontal="center" vertical="center" wrapText="1"/>
      <protection locked="0"/>
    </xf>
    <xf numFmtId="9" fontId="6" fillId="21" borderId="1" xfId="6" applyFont="1" applyFill="1" applyBorder="1" applyAlignment="1" applyProtection="1">
      <alignment horizontal="center" vertical="center" wrapText="1"/>
      <protection locked="0"/>
    </xf>
    <xf numFmtId="0" fontId="6" fillId="21" borderId="1" xfId="3" applyFont="1" applyFill="1" applyBorder="1" applyAlignment="1" applyProtection="1">
      <alignment horizontal="justify" vertical="center" wrapText="1"/>
      <protection locked="0"/>
    </xf>
    <xf numFmtId="0" fontId="44" fillId="2" borderId="1" xfId="0" applyFont="1" applyFill="1" applyBorder="1" applyAlignment="1">
      <alignment vertical="center" wrapText="1"/>
    </xf>
    <xf numFmtId="49" fontId="84" fillId="2" borderId="44" xfId="0" applyNumberFormat="1" applyFont="1" applyFill="1" applyBorder="1" applyAlignment="1" applyProtection="1">
      <alignment horizontal="center" vertical="center" wrapText="1"/>
      <protection locked="0"/>
    </xf>
    <xf numFmtId="0" fontId="86" fillId="2" borderId="102" xfId="0" applyFont="1" applyFill="1" applyBorder="1" applyAlignment="1">
      <alignment horizontal="left"/>
    </xf>
    <xf numFmtId="0" fontId="86" fillId="0" borderId="102" xfId="0" applyFont="1" applyBorder="1" applyAlignment="1">
      <alignment horizontal="left"/>
    </xf>
    <xf numFmtId="0" fontId="87" fillId="2" borderId="102" xfId="0" applyFont="1" applyFill="1" applyBorder="1" applyAlignment="1" applyProtection="1">
      <alignment horizontal="left" vertical="center" wrapText="1"/>
      <protection locked="0"/>
    </xf>
    <xf numFmtId="0" fontId="87" fillId="2" borderId="102" xfId="0" applyFont="1" applyFill="1" applyBorder="1" applyAlignment="1" applyProtection="1">
      <alignment horizontal="justify" vertical="center" wrapText="1"/>
      <protection locked="0"/>
    </xf>
    <xf numFmtId="0" fontId="87" fillId="2" borderId="102" xfId="0" applyFont="1" applyFill="1" applyBorder="1" applyAlignment="1" applyProtection="1">
      <alignment horizontal="left" vertical="justify" wrapText="1"/>
      <protection locked="0"/>
    </xf>
    <xf numFmtId="0" fontId="6" fillId="0" borderId="111" xfId="4" applyFont="1" applyBorder="1" applyAlignment="1">
      <alignment horizontal="left" vertical="top"/>
    </xf>
    <xf numFmtId="0" fontId="6" fillId="0" borderId="0" xfId="4" applyFont="1" applyAlignment="1">
      <alignment horizontal="left" vertical="top"/>
    </xf>
    <xf numFmtId="0" fontId="6" fillId="0" borderId="112" xfId="4" applyFont="1" applyBorder="1" applyAlignment="1">
      <alignment horizontal="left" vertical="top"/>
    </xf>
    <xf numFmtId="0" fontId="13" fillId="0" borderId="33" xfId="0" applyFont="1" applyBorder="1" applyAlignment="1">
      <alignment horizontal="left" vertical="center" wrapText="1"/>
    </xf>
    <xf numFmtId="0" fontId="13" fillId="0" borderId="40" xfId="0" applyFont="1" applyBorder="1" applyAlignment="1">
      <alignment horizontal="left" vertical="center" wrapText="1"/>
    </xf>
    <xf numFmtId="0" fontId="6" fillId="0" borderId="111" xfId="4" applyFont="1" applyBorder="1" applyAlignment="1">
      <alignment horizontal="left" vertical="top" wrapText="1"/>
    </xf>
    <xf numFmtId="0" fontId="6" fillId="0" borderId="0" xfId="4" applyFont="1" applyAlignment="1">
      <alignment horizontal="left" vertical="top" wrapText="1"/>
    </xf>
    <xf numFmtId="0" fontId="6" fillId="0" borderId="112" xfId="4" applyFont="1" applyBorder="1" applyAlignment="1">
      <alignment horizontal="left" vertical="top" wrapText="1"/>
    </xf>
    <xf numFmtId="0" fontId="10" fillId="10" borderId="1" xfId="3" applyFont="1" applyFill="1" applyBorder="1" applyAlignment="1" applyProtection="1">
      <alignment horizontal="center" vertical="center" wrapText="1"/>
      <protection locked="0"/>
    </xf>
    <xf numFmtId="0" fontId="13" fillId="0" borderId="1" xfId="3" applyFont="1" applyBorder="1" applyAlignment="1" applyProtection="1">
      <alignment horizontal="center" vertical="center" wrapText="1"/>
      <protection locked="0"/>
    </xf>
    <xf numFmtId="0" fontId="6" fillId="0" borderId="0" xfId="4" applyFont="1" applyAlignment="1">
      <alignment horizontal="center" wrapText="1"/>
    </xf>
    <xf numFmtId="0" fontId="6" fillId="0" borderId="111" xfId="4" quotePrefix="1" applyFont="1" applyBorder="1" applyAlignment="1">
      <alignment horizontal="left" vertical="top" wrapText="1"/>
    </xf>
    <xf numFmtId="0" fontId="6" fillId="0" borderId="0" xfId="4" quotePrefix="1" applyFont="1" applyAlignment="1">
      <alignment horizontal="left" vertical="top" wrapText="1"/>
    </xf>
    <xf numFmtId="0" fontId="6" fillId="0" borderId="112" xfId="4" quotePrefix="1" applyFont="1" applyBorder="1" applyAlignment="1">
      <alignment horizontal="left" vertical="top" wrapText="1"/>
    </xf>
    <xf numFmtId="0" fontId="11" fillId="12" borderId="107" xfId="4" applyFont="1" applyFill="1" applyBorder="1" applyAlignment="1">
      <alignment horizontal="center" vertical="center"/>
    </xf>
    <xf numFmtId="0" fontId="11" fillId="12" borderId="108" xfId="4" applyFont="1" applyFill="1" applyBorder="1" applyAlignment="1">
      <alignment horizontal="center" vertical="center"/>
    </xf>
    <xf numFmtId="0" fontId="13" fillId="0" borderId="105" xfId="4" applyFont="1" applyBorder="1" applyAlignment="1">
      <alignment horizontal="left" vertical="top" wrapText="1"/>
    </xf>
    <xf numFmtId="0" fontId="13" fillId="0" borderId="106" xfId="4" applyFont="1" applyBorder="1" applyAlignment="1">
      <alignment horizontal="left" vertical="top" wrapText="1"/>
    </xf>
    <xf numFmtId="0" fontId="13" fillId="0" borderId="103" xfId="0" applyFont="1" applyBorder="1" applyAlignment="1">
      <alignment horizontal="left" vertical="top" wrapText="1"/>
    </xf>
    <xf numFmtId="0" fontId="13" fillId="0" borderId="104" xfId="0" applyFont="1" applyBorder="1" applyAlignment="1">
      <alignment horizontal="left" vertical="top" wrapText="1"/>
    </xf>
    <xf numFmtId="0" fontId="13" fillId="0" borderId="33" xfId="4" applyFont="1" applyBorder="1" applyAlignment="1">
      <alignment horizontal="left" vertical="top" wrapText="1"/>
    </xf>
    <xf numFmtId="0" fontId="13" fillId="0" borderId="40" xfId="4" applyFont="1" applyBorder="1" applyAlignment="1">
      <alignment horizontal="left" vertical="top" wrapText="1"/>
    </xf>
    <xf numFmtId="0" fontId="11" fillId="2" borderId="37"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36" xfId="5" applyFont="1" applyFill="1" applyBorder="1" applyAlignment="1">
      <alignment horizontal="left" vertical="top" wrapText="1" readingOrder="1"/>
    </xf>
    <xf numFmtId="0" fontId="11" fillId="2" borderId="9" xfId="5" applyFont="1" applyFill="1" applyBorder="1" applyAlignment="1">
      <alignment horizontal="left" vertical="top" wrapText="1" readingOrder="1"/>
    </xf>
    <xf numFmtId="0" fontId="11" fillId="12" borderId="34" xfId="5" applyFont="1" applyFill="1" applyBorder="1" applyAlignment="1">
      <alignment horizontal="center" vertical="center" wrapText="1"/>
    </xf>
    <xf numFmtId="0" fontId="11" fillId="12" borderId="35" xfId="5" applyFont="1" applyFill="1" applyBorder="1" applyAlignment="1">
      <alignment horizontal="center" vertical="center" wrapText="1"/>
    </xf>
    <xf numFmtId="0" fontId="6" fillId="0" borderId="0" xfId="4" applyFont="1"/>
    <xf numFmtId="0" fontId="7" fillId="0" borderId="109" xfId="4" applyFont="1" applyBorder="1" applyAlignment="1">
      <alignment horizontal="center" vertical="center" wrapText="1"/>
    </xf>
    <xf numFmtId="0" fontId="7" fillId="0" borderId="88" xfId="4" applyFont="1" applyBorder="1" applyAlignment="1">
      <alignment horizontal="center" vertical="center" wrapText="1"/>
    </xf>
    <xf numFmtId="0" fontId="7" fillId="0" borderId="110" xfId="4" applyFont="1" applyBorder="1" applyAlignment="1">
      <alignment horizontal="center" vertical="center" wrapText="1"/>
    </xf>
    <xf numFmtId="0" fontId="6" fillId="0" borderId="111" xfId="4" quotePrefix="1" applyFont="1" applyBorder="1" applyAlignment="1">
      <alignment horizontal="left" vertical="center" wrapText="1"/>
    </xf>
    <xf numFmtId="0" fontId="6" fillId="0" borderId="0" xfId="4" quotePrefix="1" applyFont="1" applyAlignment="1">
      <alignment horizontal="left" vertical="center" wrapText="1"/>
    </xf>
    <xf numFmtId="0" fontId="6" fillId="0" borderId="112" xfId="4" quotePrefix="1" applyFont="1" applyBorder="1" applyAlignment="1">
      <alignment horizontal="left" vertical="center" wrapText="1"/>
    </xf>
    <xf numFmtId="0" fontId="8" fillId="0" borderId="111" xfId="4" quotePrefix="1" applyFont="1" applyBorder="1" applyAlignment="1">
      <alignment horizontal="left" vertical="top" wrapText="1"/>
    </xf>
    <xf numFmtId="0" fontId="10" fillId="0" borderId="0" xfId="4" quotePrefix="1" applyFont="1" applyAlignment="1">
      <alignment horizontal="left" vertical="top" wrapText="1"/>
    </xf>
    <xf numFmtId="0" fontId="10" fillId="0" borderId="112" xfId="4" quotePrefix="1" applyFont="1" applyBorder="1" applyAlignment="1">
      <alignment horizontal="left" vertical="top" wrapText="1"/>
    </xf>
    <xf numFmtId="0" fontId="24" fillId="0" borderId="94" xfId="3" applyFont="1" applyBorder="1" applyAlignment="1" applyProtection="1">
      <alignment horizontal="center" vertical="center" wrapText="1"/>
      <protection locked="0"/>
    </xf>
    <xf numFmtId="0" fontId="25" fillId="0" borderId="94" xfId="3" applyFont="1" applyBorder="1" applyAlignment="1" applyProtection="1">
      <alignment horizontal="center" vertical="center" wrapText="1"/>
      <protection locked="0"/>
    </xf>
    <xf numFmtId="0" fontId="11" fillId="2" borderId="59" xfId="4" applyFont="1" applyFill="1" applyBorder="1" applyAlignment="1">
      <alignment horizontal="center" vertical="center" textRotation="90"/>
    </xf>
    <xf numFmtId="0" fontId="11" fillId="2" borderId="60" xfId="4" applyFont="1" applyFill="1" applyBorder="1" applyAlignment="1">
      <alignment horizontal="center" vertical="center" textRotation="90"/>
    </xf>
    <xf numFmtId="0" fontId="11" fillId="2" borderId="38"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23" fillId="12" borderId="0" xfId="0" applyFont="1" applyFill="1" applyAlignment="1" applyProtection="1">
      <alignment horizontal="center" vertical="center" wrapText="1"/>
      <protection locked="0"/>
    </xf>
    <xf numFmtId="0" fontId="16" fillId="0" borderId="22" xfId="0" applyFont="1" applyBorder="1" applyAlignment="1" applyProtection="1">
      <alignment horizontal="justify" vertical="center" wrapText="1"/>
      <protection locked="0"/>
    </xf>
    <xf numFmtId="0" fontId="16" fillId="0" borderId="23" xfId="0" applyFont="1" applyBorder="1" applyAlignment="1" applyProtection="1">
      <alignment horizontal="justify" vertical="center" wrapText="1"/>
      <protection locked="0"/>
    </xf>
    <xf numFmtId="0" fontId="16" fillId="0" borderId="24" xfId="0" applyFont="1" applyBorder="1" applyAlignment="1" applyProtection="1">
      <alignment horizontal="justify" vertical="center" wrapText="1"/>
      <protection locked="0"/>
    </xf>
    <xf numFmtId="0" fontId="16" fillId="0" borderId="17" xfId="0" applyFont="1" applyBorder="1" applyAlignment="1" applyProtection="1">
      <alignment horizontal="justify" vertical="center" wrapText="1"/>
      <protection locked="0"/>
    </xf>
    <xf numFmtId="0" fontId="16" fillId="0" borderId="12" xfId="0" applyFont="1" applyBorder="1" applyAlignment="1" applyProtection="1">
      <alignment horizontal="justify" vertical="center" wrapText="1"/>
      <protection locked="0"/>
    </xf>
    <xf numFmtId="0" fontId="16" fillId="0" borderId="19" xfId="0" applyFont="1" applyBorder="1" applyAlignment="1" applyProtection="1">
      <alignment horizontal="justify" vertical="center" wrapText="1"/>
      <protection locked="0"/>
    </xf>
    <xf numFmtId="2" fontId="20" fillId="2" borderId="0" xfId="0" applyNumberFormat="1" applyFont="1" applyFill="1" applyAlignment="1" applyProtection="1">
      <alignment horizontal="center" vertical="center" wrapText="1"/>
      <protection hidden="1"/>
    </xf>
    <xf numFmtId="0" fontId="14" fillId="0" borderId="17" xfId="0" applyFont="1" applyBorder="1" applyAlignment="1" applyProtection="1">
      <alignment horizontal="justify" vertical="center" wrapText="1"/>
      <protection locked="0"/>
    </xf>
    <xf numFmtId="0" fontId="14" fillId="0" borderId="12" xfId="0" applyFont="1" applyBorder="1" applyAlignment="1" applyProtection="1">
      <alignment horizontal="justify" vertical="center" wrapText="1"/>
      <protection locked="0"/>
    </xf>
    <xf numFmtId="0" fontId="14" fillId="0" borderId="19" xfId="0" applyFont="1" applyBorder="1" applyAlignment="1" applyProtection="1">
      <alignment horizontal="justify" vertical="center" wrapText="1"/>
      <protection locked="0"/>
    </xf>
    <xf numFmtId="165" fontId="20" fillId="2" borderId="0" xfId="0" applyNumberFormat="1" applyFont="1" applyFill="1" applyAlignment="1" applyProtection="1">
      <alignment horizontal="center" vertical="center" wrapText="1"/>
      <protection hidden="1"/>
    </xf>
    <xf numFmtId="166" fontId="20" fillId="2" borderId="0" xfId="0" applyNumberFormat="1" applyFont="1" applyFill="1" applyAlignment="1" applyProtection="1">
      <alignment horizontal="center" vertical="center" wrapText="1"/>
      <protection hidden="1"/>
    </xf>
    <xf numFmtId="2" fontId="19" fillId="2" borderId="0" xfId="0" applyNumberFormat="1" applyFont="1" applyFill="1" applyAlignment="1" applyProtection="1">
      <alignment horizontal="center" vertical="center" textRotation="90" wrapText="1"/>
      <protection hidden="1"/>
    </xf>
    <xf numFmtId="2" fontId="10" fillId="2" borderId="0" xfId="0" applyNumberFormat="1" applyFont="1" applyFill="1" applyAlignment="1">
      <alignment horizontal="center" vertical="center" textRotation="90" wrapText="1"/>
    </xf>
    <xf numFmtId="2" fontId="40" fillId="2" borderId="0" xfId="0" applyNumberFormat="1" applyFont="1" applyFill="1" applyAlignment="1">
      <alignment horizontal="center" vertical="center" wrapText="1"/>
    </xf>
    <xf numFmtId="165" fontId="40" fillId="2" borderId="0" xfId="0" applyNumberFormat="1" applyFont="1" applyFill="1" applyAlignment="1">
      <alignment horizontal="center" vertical="center" wrapText="1"/>
    </xf>
    <xf numFmtId="2" fontId="41" fillId="2" borderId="0" xfId="0" applyNumberFormat="1" applyFont="1" applyFill="1" applyAlignment="1">
      <alignment horizontal="center" vertical="center" textRotation="90" wrapText="1"/>
    </xf>
    <xf numFmtId="166" fontId="40" fillId="2" borderId="0" xfId="0" applyNumberFormat="1" applyFont="1" applyFill="1" applyAlignment="1">
      <alignment horizontal="center" vertical="center" wrapText="1"/>
    </xf>
    <xf numFmtId="0" fontId="14" fillId="0" borderId="16"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pplyProtection="1">
      <alignment horizontal="justify" vertical="center" wrapText="1"/>
      <protection locked="0"/>
    </xf>
    <xf numFmtId="0" fontId="14" fillId="0" borderId="23" xfId="0" applyFont="1" applyBorder="1" applyAlignment="1" applyProtection="1">
      <alignment horizontal="justify" vertical="center" wrapText="1"/>
      <protection locked="0"/>
    </xf>
    <xf numFmtId="0" fontId="14" fillId="0" borderId="24" xfId="0" applyFont="1" applyBorder="1" applyAlignment="1" applyProtection="1">
      <alignment horizontal="justify" vertical="center" wrapText="1"/>
      <protection locked="0"/>
    </xf>
    <xf numFmtId="0" fontId="14" fillId="0" borderId="17"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13" borderId="22" xfId="0" applyFont="1" applyFill="1" applyBorder="1" applyAlignment="1" applyProtection="1">
      <alignment horizontal="center" vertical="center"/>
      <protection locked="0"/>
    </xf>
    <xf numFmtId="0" fontId="14" fillId="13" borderId="23" xfId="0" applyFont="1" applyFill="1" applyBorder="1" applyAlignment="1" applyProtection="1">
      <alignment horizontal="center" vertical="center"/>
      <protection locked="0"/>
    </xf>
    <xf numFmtId="0" fontId="14" fillId="13" borderId="24" xfId="0" applyFont="1" applyFill="1" applyBorder="1" applyAlignment="1" applyProtection="1">
      <alignment horizontal="center" vertical="center"/>
      <protection locked="0"/>
    </xf>
    <xf numFmtId="0" fontId="14" fillId="0" borderId="100" xfId="0" applyFont="1" applyBorder="1" applyAlignment="1" applyProtection="1">
      <alignment horizontal="center" vertical="center" wrapText="1"/>
      <protection hidden="1"/>
    </xf>
    <xf numFmtId="0" fontId="14" fillId="0" borderId="97" xfId="0" applyFont="1" applyBorder="1" applyAlignment="1" applyProtection="1">
      <alignment horizontal="center" vertical="center" wrapText="1"/>
      <protection hidden="1"/>
    </xf>
    <xf numFmtId="0" fontId="14" fillId="0" borderId="101" xfId="0" applyFont="1" applyBorder="1" applyAlignment="1" applyProtection="1">
      <alignment horizontal="center" vertical="center" wrapText="1"/>
      <protection hidden="1"/>
    </xf>
    <xf numFmtId="0" fontId="19" fillId="6" borderId="61" xfId="0" applyFont="1" applyFill="1" applyBorder="1" applyAlignment="1" applyProtection="1">
      <alignment horizontal="center" vertical="center" wrapText="1"/>
      <protection locked="0"/>
    </xf>
    <xf numFmtId="0" fontId="19" fillId="6" borderId="25"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4" fillId="0" borderId="16" xfId="0"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16" fillId="0" borderId="17"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71"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74"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2" xfId="0" applyFont="1" applyBorder="1" applyAlignment="1" applyProtection="1">
      <alignment horizontal="center" vertical="center" wrapText="1"/>
      <protection hidden="1"/>
    </xf>
    <xf numFmtId="0" fontId="16" fillId="0" borderId="25" xfId="0" applyFont="1" applyBorder="1" applyAlignment="1" applyProtection="1">
      <alignment horizontal="center" vertical="center" wrapText="1"/>
      <protection hidden="1"/>
    </xf>
    <xf numFmtId="0" fontId="16" fillId="0" borderId="26" xfId="0" applyFont="1" applyBorder="1" applyAlignment="1" applyProtection="1">
      <alignment horizontal="center" vertical="center" wrapText="1"/>
      <protection hidden="1"/>
    </xf>
    <xf numFmtId="0" fontId="16" fillId="13" borderId="71" xfId="0" applyFont="1" applyFill="1" applyBorder="1" applyAlignment="1" applyProtection="1">
      <alignment horizontal="center" vertical="center"/>
      <protection locked="0"/>
    </xf>
    <xf numFmtId="0" fontId="16" fillId="13" borderId="33" xfId="0" applyFont="1" applyFill="1" applyBorder="1" applyAlignment="1" applyProtection="1">
      <alignment horizontal="center" vertical="center"/>
      <protection locked="0"/>
    </xf>
    <xf numFmtId="0" fontId="16" fillId="13" borderId="74" xfId="0" applyFont="1" applyFill="1" applyBorder="1" applyAlignment="1" applyProtection="1">
      <alignment horizontal="center" vertical="center"/>
      <protection locked="0"/>
    </xf>
    <xf numFmtId="0" fontId="20" fillId="6" borderId="6"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19" fillId="6" borderId="2"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9" fillId="6" borderId="1" xfId="0" applyFont="1" applyFill="1" applyBorder="1" applyAlignment="1" applyProtection="1">
      <alignment horizontal="center" vertical="center" textRotation="90" wrapText="1"/>
      <protection locked="0"/>
    </xf>
    <xf numFmtId="0" fontId="19" fillId="6" borderId="2" xfId="0" applyFont="1" applyFill="1" applyBorder="1" applyAlignment="1" applyProtection="1">
      <alignment horizontal="center" vertical="center" textRotation="90" wrapText="1"/>
      <protection locked="0"/>
    </xf>
    <xf numFmtId="0" fontId="19" fillId="6" borderId="67" xfId="0" applyFont="1" applyFill="1" applyBorder="1" applyAlignment="1" applyProtection="1">
      <alignment horizontal="center" vertical="center" textRotation="90" wrapText="1"/>
      <protection locked="0"/>
    </xf>
    <xf numFmtId="0" fontId="19" fillId="6" borderId="66" xfId="0" applyFont="1" applyFill="1" applyBorder="1" applyAlignment="1" applyProtection="1">
      <alignment horizontal="center" vertical="center" textRotation="90" wrapText="1"/>
      <protection locked="0"/>
    </xf>
    <xf numFmtId="0" fontId="19" fillId="6" borderId="1"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wrapText="1"/>
      <protection locked="0"/>
    </xf>
    <xf numFmtId="0" fontId="19" fillId="6" borderId="66" xfId="0" applyFont="1" applyFill="1" applyBorder="1" applyAlignment="1" applyProtection="1">
      <alignment horizontal="center" vertical="center" wrapText="1"/>
      <protection locked="0"/>
    </xf>
    <xf numFmtId="0" fontId="19" fillId="6" borderId="87" xfId="0" applyFont="1" applyFill="1" applyBorder="1" applyAlignment="1" applyProtection="1">
      <alignment horizontal="center" vertical="center"/>
      <protection locked="0"/>
    </xf>
    <xf numFmtId="0" fontId="19" fillId="6" borderId="88" xfId="0" applyFont="1" applyFill="1" applyBorder="1" applyAlignment="1" applyProtection="1">
      <alignment horizontal="center" vertical="center"/>
      <protection locked="0"/>
    </xf>
    <xf numFmtId="0" fontId="19" fillId="6" borderId="89"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hidden="1"/>
    </xf>
    <xf numFmtId="0" fontId="19" fillId="2" borderId="0" xfId="0" applyFont="1" applyFill="1" applyAlignment="1" applyProtection="1">
      <alignment horizontal="center" vertical="center" textRotation="90" wrapText="1"/>
      <protection hidden="1"/>
    </xf>
    <xf numFmtId="0" fontId="10" fillId="2" borderId="0" xfId="0" applyFont="1" applyFill="1" applyAlignment="1">
      <alignment horizontal="center" vertical="center" textRotation="90" wrapText="1"/>
    </xf>
    <xf numFmtId="0" fontId="16" fillId="0" borderId="16"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6" fillId="19" borderId="4" xfId="0" applyFont="1" applyFill="1" applyBorder="1" applyAlignment="1">
      <alignment horizontal="left" vertical="top" wrapText="1"/>
    </xf>
    <xf numFmtId="0" fontId="10" fillId="6" borderId="4" xfId="0" applyFont="1" applyFill="1" applyBorder="1" applyAlignment="1">
      <alignment horizontal="left" vertical="center" wrapText="1"/>
    </xf>
    <xf numFmtId="0" fontId="10" fillId="6" borderId="124"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16" fillId="0" borderId="150" xfId="0" applyFont="1" applyBorder="1" applyAlignment="1">
      <alignment horizontal="left" vertical="top" wrapText="1"/>
    </xf>
    <xf numFmtId="0" fontId="16" fillId="0" borderId="151" xfId="0" applyFont="1" applyBorder="1" applyAlignment="1">
      <alignment horizontal="left" vertical="top" wrapText="1"/>
    </xf>
    <xf numFmtId="0" fontId="16" fillId="0" borderId="152" xfId="0" applyFont="1" applyBorder="1" applyAlignment="1">
      <alignment horizontal="left" vertical="top" wrapText="1"/>
    </xf>
    <xf numFmtId="0" fontId="10" fillId="6" borderId="1" xfId="0" applyFont="1" applyFill="1" applyBorder="1" applyAlignment="1">
      <alignment horizontal="center" vertical="center" textRotation="90" wrapText="1"/>
    </xf>
    <xf numFmtId="0" fontId="10" fillId="6" borderId="2" xfId="0" applyFont="1" applyFill="1" applyBorder="1" applyAlignment="1">
      <alignment horizontal="center" vertical="center" textRotation="90" wrapText="1"/>
    </xf>
    <xf numFmtId="0" fontId="10" fillId="19" borderId="1" xfId="0" applyFont="1" applyFill="1" applyBorder="1" applyAlignment="1" applyProtection="1">
      <alignment horizontal="center" vertical="center" wrapText="1"/>
      <protection hidden="1"/>
    </xf>
    <xf numFmtId="0" fontId="16" fillId="0" borderId="2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84" xfId="0" applyFont="1" applyBorder="1" applyAlignment="1" applyProtection="1">
      <alignment horizontal="center" vertical="center" wrapText="1"/>
      <protection hidden="1"/>
    </xf>
    <xf numFmtId="0" fontId="14" fillId="0" borderId="83"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84" xfId="0" applyFont="1" applyBorder="1" applyAlignment="1" applyProtection="1">
      <alignment horizontal="center" vertical="center" wrapText="1"/>
      <protection hidden="1"/>
    </xf>
    <xf numFmtId="0" fontId="16" fillId="0" borderId="83" xfId="0" applyFont="1" applyBorder="1" applyAlignment="1" applyProtection="1">
      <alignment horizontal="center" vertical="center" wrapText="1"/>
      <protection hidden="1"/>
    </xf>
    <xf numFmtId="0" fontId="19" fillId="6" borderId="1" xfId="0" applyFont="1" applyFill="1" applyBorder="1" applyAlignment="1" applyProtection="1">
      <alignment horizontal="center" vertical="center" textRotation="90" wrapText="1"/>
      <protection hidden="1"/>
    </xf>
    <xf numFmtId="0" fontId="19" fillId="6" borderId="2" xfId="0" applyFont="1" applyFill="1" applyBorder="1" applyAlignment="1" applyProtection="1">
      <alignment horizontal="center" vertical="center" textRotation="90" wrapText="1"/>
      <protection hidden="1"/>
    </xf>
    <xf numFmtId="0" fontId="19" fillId="6" borderId="67" xfId="0" applyFont="1" applyFill="1" applyBorder="1" applyAlignment="1" applyProtection="1">
      <alignment horizontal="center" vertical="center" textRotation="90" wrapText="1"/>
      <protection hidden="1"/>
    </xf>
    <xf numFmtId="0" fontId="19" fillId="6" borderId="66" xfId="0" applyFont="1" applyFill="1" applyBorder="1" applyAlignment="1" applyProtection="1">
      <alignment horizontal="center" vertical="center" textRotation="90" wrapText="1"/>
      <protection hidden="1"/>
    </xf>
    <xf numFmtId="0" fontId="16" fillId="0" borderId="3" xfId="0" applyFont="1" applyBorder="1" applyAlignment="1" applyProtection="1">
      <alignment horizontal="center" vertical="center" wrapText="1"/>
      <protection hidden="1"/>
    </xf>
    <xf numFmtId="0" fontId="16" fillId="2" borderId="0" xfId="0" applyFont="1" applyFill="1" applyAlignment="1">
      <alignment horizontal="left" vertical="center" wrapText="1"/>
    </xf>
    <xf numFmtId="0" fontId="16" fillId="2" borderId="0" xfId="0" applyFont="1" applyFill="1" applyAlignment="1">
      <alignment horizontal="center"/>
    </xf>
    <xf numFmtId="164" fontId="16" fillId="2" borderId="0" xfId="0" applyNumberFormat="1" applyFont="1" applyFill="1" applyAlignment="1">
      <alignment horizontal="center"/>
    </xf>
    <xf numFmtId="0" fontId="45" fillId="0" borderId="17" xfId="0" applyFont="1" applyBorder="1" applyAlignment="1" applyProtection="1">
      <alignment horizontal="center" vertical="center"/>
      <protection locked="0"/>
    </xf>
    <xf numFmtId="0" fontId="45" fillId="0" borderId="12" xfId="0" applyFont="1" applyBorder="1" applyAlignment="1" applyProtection="1">
      <alignment horizontal="center" vertical="center"/>
      <protection locked="0"/>
    </xf>
    <xf numFmtId="0" fontId="45" fillId="0" borderId="19" xfId="0" applyFont="1" applyBorder="1" applyAlignment="1" applyProtection="1">
      <alignment horizontal="center" vertical="center"/>
      <protection locked="0"/>
    </xf>
    <xf numFmtId="0" fontId="10" fillId="6"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70" xfId="0" applyFont="1" applyFill="1" applyBorder="1" applyAlignment="1">
      <alignment horizontal="center" vertical="center"/>
    </xf>
    <xf numFmtId="0" fontId="10" fillId="6" borderId="25"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79" fillId="0" borderId="23" xfId="0" applyFont="1" applyBorder="1" applyAlignment="1" applyProtection="1">
      <alignment horizontal="justify" vertical="center" wrapText="1"/>
      <protection locked="0"/>
    </xf>
    <xf numFmtId="0" fontId="79" fillId="0" borderId="24" xfId="0" applyFont="1" applyBorder="1" applyAlignment="1" applyProtection="1">
      <alignment horizontal="justify" vertical="center" wrapText="1"/>
      <protection locked="0"/>
    </xf>
    <xf numFmtId="0" fontId="19" fillId="6" borderId="2" xfId="0" applyFont="1" applyFill="1" applyBorder="1" applyAlignment="1" applyProtection="1">
      <alignment horizontal="center" vertical="center" wrapText="1"/>
      <protection locked="0"/>
    </xf>
    <xf numFmtId="0" fontId="19" fillId="6" borderId="87" xfId="0" applyFont="1" applyFill="1" applyBorder="1" applyAlignment="1" applyProtection="1">
      <alignment horizontal="justify" vertical="center"/>
      <protection locked="0"/>
    </xf>
    <xf numFmtId="0" fontId="19" fillId="6" borderId="88" xfId="0" applyFont="1" applyFill="1" applyBorder="1" applyAlignment="1" applyProtection="1">
      <alignment horizontal="justify" vertical="center"/>
      <protection locked="0"/>
    </xf>
    <xf numFmtId="0" fontId="19" fillId="6" borderId="89" xfId="0" applyFont="1" applyFill="1" applyBorder="1" applyAlignment="1" applyProtection="1">
      <alignment horizontal="justify" vertical="center"/>
      <protection locked="0"/>
    </xf>
    <xf numFmtId="0" fontId="19" fillId="6" borderId="2" xfId="0" applyFont="1" applyFill="1" applyBorder="1" applyAlignment="1" applyProtection="1">
      <alignment horizontal="justify" vertical="center" wrapText="1"/>
      <protection locked="0"/>
    </xf>
    <xf numFmtId="0" fontId="19" fillId="6" borderId="26" xfId="0" applyFont="1" applyFill="1" applyBorder="1" applyAlignment="1" applyProtection="1">
      <alignment horizontal="justify" vertical="center" wrapText="1"/>
      <protection locked="0"/>
    </xf>
    <xf numFmtId="0" fontId="16" fillId="2" borderId="16"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4" fillId="0" borderId="22"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9" fillId="6" borderId="61" xfId="0" applyFont="1" applyFill="1" applyBorder="1" applyAlignment="1" applyProtection="1">
      <alignment horizontal="justify" vertical="center" wrapText="1"/>
      <protection locked="0"/>
    </xf>
    <xf numFmtId="0" fontId="19" fillId="6" borderId="25" xfId="0" applyFont="1" applyFill="1" applyBorder="1" applyAlignment="1" applyProtection="1">
      <alignment horizontal="justify" vertical="center" wrapText="1"/>
      <protection locked="0"/>
    </xf>
    <xf numFmtId="0" fontId="19" fillId="6" borderId="1" xfId="0" applyFont="1" applyFill="1" applyBorder="1" applyAlignment="1" applyProtection="1">
      <alignment horizontal="justify" vertical="center" wrapText="1"/>
      <protection locked="0"/>
    </xf>
    <xf numFmtId="0" fontId="19" fillId="6" borderId="66" xfId="0" applyFont="1" applyFill="1" applyBorder="1" applyAlignment="1" applyProtection="1">
      <alignment horizontal="justify" vertical="center" wrapText="1"/>
      <protection locked="0"/>
    </xf>
    <xf numFmtId="0" fontId="10" fillId="19" borderId="1" xfId="0" applyFont="1" applyFill="1" applyBorder="1" applyAlignment="1" applyProtection="1">
      <alignment horizontal="center" vertical="center"/>
      <protection locked="0"/>
    </xf>
    <xf numFmtId="0" fontId="14" fillId="0" borderId="21" xfId="0" applyFont="1" applyBorder="1" applyAlignment="1">
      <alignment horizontal="left" vertical="center" wrapText="1"/>
    </xf>
    <xf numFmtId="0" fontId="14" fillId="0" borderId="99" xfId="0" applyFont="1" applyBorder="1" applyAlignment="1" applyProtection="1">
      <alignment horizontal="justify" vertical="center" wrapText="1"/>
      <protection locked="0"/>
    </xf>
    <xf numFmtId="0" fontId="16" fillId="0" borderId="99" xfId="0" applyFont="1" applyBorder="1" applyAlignment="1" applyProtection="1">
      <alignment horizontal="center" vertical="center"/>
      <protection locked="0"/>
    </xf>
    <xf numFmtId="0" fontId="16" fillId="0" borderId="123" xfId="0" applyFont="1" applyBorder="1" applyAlignment="1" applyProtection="1">
      <alignment horizontal="center" vertical="center"/>
      <protection locked="0"/>
    </xf>
    <xf numFmtId="0" fontId="79" fillId="2" borderId="97" xfId="0" applyFont="1" applyFill="1" applyBorder="1" applyAlignment="1" applyProtection="1">
      <alignment horizontal="justify" vertical="center" wrapText="1"/>
      <protection locked="0"/>
    </xf>
    <xf numFmtId="0" fontId="14" fillId="2" borderId="97" xfId="0" applyFont="1" applyFill="1" applyBorder="1" applyAlignment="1" applyProtection="1">
      <alignment horizontal="justify" vertical="center" wrapText="1"/>
      <protection locked="0"/>
    </xf>
    <xf numFmtId="0" fontId="14" fillId="2" borderId="155" xfId="0" applyFont="1" applyFill="1" applyBorder="1" applyAlignment="1" applyProtection="1">
      <alignment horizontal="justify" vertical="center" wrapText="1"/>
      <protection locked="0"/>
    </xf>
    <xf numFmtId="0" fontId="39" fillId="6" borderId="0" xfId="0" applyFont="1" applyFill="1" applyAlignment="1">
      <alignment horizontal="center" vertical="center"/>
    </xf>
    <xf numFmtId="0" fontId="15" fillId="2" borderId="0" xfId="0" applyFont="1" applyFill="1" applyAlignment="1">
      <alignment horizontal="justify" vertical="top" wrapText="1"/>
    </xf>
    <xf numFmtId="0" fontId="14" fillId="0" borderId="71"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74" xfId="0" applyFont="1" applyBorder="1" applyAlignment="1" applyProtection="1">
      <alignment horizontal="center" vertical="center"/>
      <protection locked="0"/>
    </xf>
    <xf numFmtId="0" fontId="14" fillId="0" borderId="28" xfId="0" applyFont="1" applyBorder="1" applyAlignment="1">
      <alignment horizontal="left" vertical="center" wrapText="1"/>
    </xf>
    <xf numFmtId="0" fontId="14" fillId="0" borderId="11" xfId="0" applyFont="1" applyBorder="1" applyAlignment="1">
      <alignment horizontal="left" vertical="center" wrapText="1"/>
    </xf>
    <xf numFmtId="0" fontId="14" fillId="0" borderId="153" xfId="0" applyFont="1" applyBorder="1" applyAlignment="1">
      <alignment horizontal="left" vertical="center" wrapText="1"/>
    </xf>
    <xf numFmtId="0" fontId="14" fillId="2" borderId="23" xfId="0" applyFont="1" applyFill="1" applyBorder="1" applyAlignment="1" applyProtection="1">
      <alignment horizontal="justify" vertical="center" wrapText="1"/>
      <protection locked="0"/>
    </xf>
    <xf numFmtId="0" fontId="14" fillId="2" borderId="154" xfId="0" applyFont="1" applyFill="1" applyBorder="1" applyAlignment="1" applyProtection="1">
      <alignment horizontal="justify" vertical="center" wrapText="1"/>
      <protection locked="0"/>
    </xf>
    <xf numFmtId="0" fontId="14" fillId="2" borderId="97" xfId="0" applyFont="1" applyFill="1" applyBorder="1" applyAlignment="1" applyProtection="1">
      <alignment horizontal="center" vertical="center"/>
      <protection locked="0"/>
    </xf>
    <xf numFmtId="0" fontId="14" fillId="2" borderId="155" xfId="0" applyFont="1" applyFill="1" applyBorder="1" applyAlignment="1" applyProtection="1">
      <alignment horizontal="center" vertical="center"/>
      <protection locked="0"/>
    </xf>
    <xf numFmtId="0" fontId="35" fillId="19" borderId="1" xfId="0" applyFont="1" applyFill="1" applyBorder="1" applyAlignment="1">
      <alignment horizontal="center" vertical="center" textRotation="90" shrinkToFit="1"/>
    </xf>
    <xf numFmtId="0" fontId="14" fillId="0" borderId="154" xfId="0" applyFont="1" applyBorder="1" applyAlignment="1">
      <alignment horizontal="left" vertical="center" wrapText="1"/>
    </xf>
    <xf numFmtId="0" fontId="14" fillId="13" borderId="154" xfId="0"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4" fillId="2" borderId="157" xfId="0" applyFont="1" applyFill="1" applyBorder="1" applyAlignment="1" applyProtection="1">
      <alignment horizontal="center" vertical="center" wrapText="1"/>
      <protection hidden="1"/>
    </xf>
    <xf numFmtId="0" fontId="16" fillId="0" borderId="75"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7" xfId="0" applyFont="1" applyBorder="1" applyAlignment="1" applyProtection="1">
      <alignment horizontal="center" vertical="center"/>
      <protection locked="0"/>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6" fillId="0" borderId="175" xfId="0" applyFont="1" applyBorder="1" applyAlignment="1" applyProtection="1">
      <alignment horizontal="justify" vertical="center" wrapText="1"/>
      <protection locked="0"/>
    </xf>
    <xf numFmtId="2" fontId="20" fillId="0" borderId="0" xfId="0" applyNumberFormat="1" applyFont="1" applyAlignment="1" applyProtection="1">
      <alignment horizontal="center" vertical="center" wrapText="1"/>
      <protection hidden="1"/>
    </xf>
    <xf numFmtId="2" fontId="19" fillId="0" borderId="0" xfId="0" applyNumberFormat="1" applyFont="1" applyAlignment="1" applyProtection="1">
      <alignment horizontal="center" vertical="center" textRotation="90" wrapText="1"/>
      <protection hidden="1"/>
    </xf>
    <xf numFmtId="2" fontId="19" fillId="0" borderId="0" xfId="0" applyNumberFormat="1" applyFont="1" applyAlignment="1">
      <alignment horizontal="center" vertical="center" textRotation="90" wrapText="1"/>
    </xf>
    <xf numFmtId="0" fontId="16" fillId="9" borderId="80" xfId="0" applyFont="1" applyFill="1" applyBorder="1" applyAlignment="1">
      <alignment horizontal="left" vertical="top" wrapText="1"/>
    </xf>
    <xf numFmtId="0" fontId="16" fillId="9" borderId="81" xfId="0" applyFont="1" applyFill="1" applyBorder="1" applyAlignment="1">
      <alignment horizontal="left" vertical="top" wrapText="1"/>
    </xf>
    <xf numFmtId="0" fontId="16" fillId="9" borderId="82" xfId="0" applyFont="1" applyFill="1" applyBorder="1" applyAlignment="1">
      <alignment horizontal="left" vertical="top" wrapText="1"/>
    </xf>
    <xf numFmtId="0" fontId="21" fillId="5"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5" borderId="2" xfId="0" applyFont="1" applyFill="1" applyBorder="1" applyAlignment="1">
      <alignment horizontal="left" vertical="top" wrapText="1"/>
    </xf>
    <xf numFmtId="0" fontId="16" fillId="9" borderId="16" xfId="0" applyFont="1" applyFill="1" applyBorder="1" applyAlignment="1">
      <alignment horizontal="left" vertical="top" wrapText="1"/>
    </xf>
    <xf numFmtId="0" fontId="16" fillId="9" borderId="14" xfId="0" applyFont="1" applyFill="1" applyBorder="1" applyAlignment="1">
      <alignment horizontal="left" vertical="top" wrapText="1"/>
    </xf>
    <xf numFmtId="0" fontId="16" fillId="9" borderId="15" xfId="0" applyFont="1" applyFill="1" applyBorder="1" applyAlignment="1">
      <alignment horizontal="left" vertical="top" wrapText="1"/>
    </xf>
    <xf numFmtId="0" fontId="19" fillId="5" borderId="1" xfId="0" applyFont="1" applyFill="1" applyBorder="1" applyAlignment="1">
      <alignment horizontal="left" vertical="top" wrapText="1"/>
    </xf>
    <xf numFmtId="0" fontId="16" fillId="2" borderId="83"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wrapText="1"/>
      <protection hidden="1"/>
    </xf>
    <xf numFmtId="0" fontId="16" fillId="2" borderId="165" xfId="0" applyFont="1" applyFill="1" applyBorder="1" applyAlignment="1" applyProtection="1">
      <alignment horizontal="center" vertical="center" wrapText="1"/>
      <protection hidden="1"/>
    </xf>
    <xf numFmtId="0" fontId="16" fillId="2" borderId="162" xfId="0" applyFont="1" applyFill="1" applyBorder="1" applyAlignment="1" applyProtection="1">
      <alignment horizontal="center" vertical="center" wrapText="1"/>
      <protection hidden="1"/>
    </xf>
    <xf numFmtId="0" fontId="16" fillId="2" borderId="164" xfId="0" applyFont="1" applyFill="1" applyBorder="1" applyAlignment="1" applyProtection="1">
      <alignment horizontal="center" vertical="center" wrapText="1"/>
      <protection hidden="1"/>
    </xf>
    <xf numFmtId="0" fontId="19" fillId="5" borderId="1" xfId="0" applyFont="1" applyFill="1" applyBorder="1" applyAlignment="1">
      <alignment horizontal="center" vertical="center" textRotation="90" wrapText="1"/>
    </xf>
    <xf numFmtId="0" fontId="19" fillId="5" borderId="2" xfId="0" applyFont="1" applyFill="1" applyBorder="1" applyAlignment="1">
      <alignment horizontal="center" vertical="center" textRotation="90" wrapText="1"/>
    </xf>
    <xf numFmtId="0" fontId="14" fillId="9" borderId="41" xfId="0" applyFont="1" applyFill="1" applyBorder="1" applyAlignment="1">
      <alignment horizontal="left" vertical="top" wrapText="1"/>
    </xf>
    <xf numFmtId="0" fontId="14" fillId="9" borderId="42" xfId="0" applyFont="1" applyFill="1" applyBorder="1" applyAlignment="1">
      <alignment horizontal="left" vertical="top" wrapText="1"/>
    </xf>
    <xf numFmtId="0" fontId="14" fillId="9" borderId="43" xfId="0" applyFont="1" applyFill="1" applyBorder="1" applyAlignment="1">
      <alignment horizontal="left" vertical="top" wrapText="1"/>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6" fillId="2" borderId="17"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9"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16" fillId="2" borderId="29" xfId="0" applyFont="1" applyFill="1" applyBorder="1" applyAlignment="1" applyProtection="1">
      <alignment horizontal="center" vertical="center" wrapText="1"/>
      <protection hidden="1"/>
    </xf>
    <xf numFmtId="0" fontId="16" fillId="2" borderId="84" xfId="0" applyFont="1" applyFill="1" applyBorder="1" applyAlignment="1" applyProtection="1">
      <alignment horizontal="center" vertical="center" wrapText="1"/>
      <protection hidden="1"/>
    </xf>
    <xf numFmtId="0" fontId="19" fillId="5" borderId="0" xfId="0" applyFont="1" applyFill="1" applyAlignment="1">
      <alignment horizontal="center" vertical="center"/>
    </xf>
    <xf numFmtId="0" fontId="19" fillId="5" borderId="1" xfId="0" applyFont="1" applyFill="1" applyBorder="1" applyAlignment="1" applyProtection="1">
      <alignment horizontal="center" vertical="center" textRotation="90" wrapText="1"/>
      <protection hidden="1"/>
    </xf>
    <xf numFmtId="0" fontId="19" fillId="5" borderId="2" xfId="0" applyFont="1" applyFill="1" applyBorder="1" applyAlignment="1" applyProtection="1">
      <alignment horizontal="center" vertical="center" textRotation="90" wrapText="1"/>
      <protection hidden="1"/>
    </xf>
    <xf numFmtId="0" fontId="16" fillId="2" borderId="166" xfId="0" applyFont="1" applyFill="1" applyBorder="1" applyAlignment="1" applyProtection="1">
      <alignment horizontal="center" vertical="center" wrapText="1"/>
      <protection hidden="1"/>
    </xf>
    <xf numFmtId="0" fontId="16" fillId="2" borderId="167" xfId="0" applyFont="1" applyFill="1" applyBorder="1" applyAlignment="1" applyProtection="1">
      <alignment horizontal="center" vertical="center" wrapText="1"/>
      <protection hidden="1"/>
    </xf>
    <xf numFmtId="0" fontId="16" fillId="2" borderId="168" xfId="0" applyFont="1" applyFill="1" applyBorder="1" applyAlignment="1" applyProtection="1">
      <alignment horizontal="center" vertical="center" wrapText="1"/>
      <protection hidden="1"/>
    </xf>
    <xf numFmtId="0" fontId="19" fillId="5" borderId="4" xfId="0" applyFont="1" applyFill="1" applyBorder="1" applyAlignment="1">
      <alignment horizontal="center" vertical="center"/>
    </xf>
    <xf numFmtId="0" fontId="19" fillId="5" borderId="5" xfId="0" applyFont="1" applyFill="1" applyBorder="1" applyAlignment="1">
      <alignment horizontal="center" vertical="center"/>
    </xf>
    <xf numFmtId="0" fontId="16" fillId="2" borderId="71" xfId="0" applyFont="1" applyFill="1" applyBorder="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0" fontId="16" fillId="2" borderId="74" xfId="0" applyFont="1" applyFill="1" applyBorder="1" applyAlignment="1" applyProtection="1">
      <alignment horizontal="center" vertical="center"/>
      <protection locked="0"/>
    </xf>
    <xf numFmtId="0" fontId="16" fillId="2" borderId="73" xfId="0" applyFont="1" applyFill="1" applyBorder="1" applyAlignment="1" applyProtection="1">
      <alignment horizontal="center" vertical="center"/>
      <protection locked="0"/>
    </xf>
    <xf numFmtId="0" fontId="16" fillId="2" borderId="98" xfId="0" applyFont="1" applyFill="1" applyBorder="1" applyAlignment="1" applyProtection="1">
      <alignment horizontal="center" vertical="center"/>
      <protection locked="0"/>
    </xf>
    <xf numFmtId="0" fontId="16" fillId="2" borderId="169" xfId="0" applyFont="1" applyFill="1" applyBorder="1" applyAlignment="1" applyProtection="1">
      <alignment horizontal="center" vertical="center"/>
      <protection locked="0"/>
    </xf>
    <xf numFmtId="0" fontId="19" fillId="5" borderId="2"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4" fillId="2" borderId="17" xfId="0" applyFont="1" applyFill="1" applyBorder="1" applyAlignment="1" applyProtection="1">
      <alignment horizontal="justify" vertical="center" wrapText="1"/>
      <protection locked="0"/>
    </xf>
    <xf numFmtId="0" fontId="14" fillId="2" borderId="12" xfId="0" applyFont="1" applyFill="1" applyBorder="1" applyAlignment="1" applyProtection="1">
      <alignment horizontal="justify" vertical="center"/>
      <protection locked="0"/>
    </xf>
    <xf numFmtId="0" fontId="14" fillId="2" borderId="19" xfId="0" applyFont="1" applyFill="1" applyBorder="1" applyAlignment="1" applyProtection="1">
      <alignment horizontal="justify" vertical="center"/>
      <protection locked="0"/>
    </xf>
    <xf numFmtId="0" fontId="19" fillId="5" borderId="25" xfId="0" applyFont="1" applyFill="1" applyBorder="1" applyAlignment="1">
      <alignment horizontal="center" vertical="center" wrapText="1"/>
    </xf>
    <xf numFmtId="0" fontId="19" fillId="5" borderId="26" xfId="0" applyFont="1" applyFill="1" applyBorder="1" applyAlignment="1">
      <alignment horizontal="center" vertical="center"/>
    </xf>
    <xf numFmtId="0" fontId="16" fillId="2" borderId="17" xfId="0" applyFont="1" applyFill="1" applyBorder="1" applyAlignment="1" applyProtection="1">
      <alignment horizontal="justify" vertical="center" wrapText="1"/>
      <protection locked="0"/>
    </xf>
    <xf numFmtId="0" fontId="16" fillId="2" borderId="12" xfId="0" applyFont="1" applyFill="1" applyBorder="1" applyAlignment="1" applyProtection="1">
      <alignment horizontal="justify" vertical="center"/>
      <protection locked="0"/>
    </xf>
    <xf numFmtId="0" fontId="16" fillId="2" borderId="19" xfId="0" applyFont="1" applyFill="1" applyBorder="1" applyAlignment="1" applyProtection="1">
      <alignment horizontal="justify" vertical="center"/>
      <protection locked="0"/>
    </xf>
    <xf numFmtId="0" fontId="16" fillId="2" borderId="166" xfId="0" applyFont="1" applyFill="1" applyBorder="1" applyAlignment="1" applyProtection="1">
      <alignment horizontal="justify" vertical="center" wrapText="1"/>
      <protection locked="0"/>
    </xf>
    <xf numFmtId="0" fontId="16" fillId="2" borderId="167" xfId="0" applyFont="1" applyFill="1" applyBorder="1" applyAlignment="1" applyProtection="1">
      <alignment horizontal="justify" vertical="center"/>
      <protection locked="0"/>
    </xf>
    <xf numFmtId="0" fontId="16" fillId="2" borderId="168" xfId="0" applyFont="1" applyFill="1" applyBorder="1" applyAlignment="1" applyProtection="1">
      <alignment horizontal="justify" vertical="center"/>
      <protection locked="0"/>
    </xf>
    <xf numFmtId="0" fontId="14" fillId="9" borderId="16" xfId="0" applyFont="1" applyFill="1" applyBorder="1" applyAlignment="1">
      <alignment horizontal="left" vertical="top" wrapText="1"/>
    </xf>
    <xf numFmtId="0" fontId="14" fillId="9" borderId="14" xfId="0" applyFont="1" applyFill="1" applyBorder="1" applyAlignment="1">
      <alignment horizontal="left" vertical="top" wrapText="1"/>
    </xf>
    <xf numFmtId="0" fontId="14" fillId="9" borderId="15" xfId="0" applyFont="1" applyFill="1" applyBorder="1" applyAlignment="1">
      <alignment horizontal="left" vertical="top" wrapText="1"/>
    </xf>
    <xf numFmtId="0" fontId="14" fillId="2" borderId="17"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0" fontId="14" fillId="0" borderId="22" xfId="0" quotePrefix="1" applyFont="1" applyBorder="1" applyAlignment="1">
      <alignment horizontal="left" vertical="top" wrapText="1"/>
    </xf>
    <xf numFmtId="0" fontId="19" fillId="5" borderId="1" xfId="0" applyFont="1" applyFill="1" applyBorder="1" applyAlignment="1" applyProtection="1">
      <alignment horizontal="center" vertical="center" textRotation="90" wrapText="1"/>
      <protection locked="0"/>
    </xf>
    <xf numFmtId="0" fontId="19" fillId="5" borderId="2" xfId="0" applyFont="1" applyFill="1" applyBorder="1" applyAlignment="1" applyProtection="1">
      <alignment horizontal="center" vertical="center" textRotation="90" wrapText="1"/>
      <protection locked="0"/>
    </xf>
    <xf numFmtId="0" fontId="16" fillId="13" borderId="17" xfId="0" applyFont="1" applyFill="1" applyBorder="1" applyAlignment="1" applyProtection="1">
      <alignment horizontal="center" vertical="center"/>
      <protection locked="0"/>
    </xf>
    <xf numFmtId="0" fontId="16" fillId="13" borderId="12" xfId="0" applyFont="1" applyFill="1" applyBorder="1" applyAlignment="1" applyProtection="1">
      <alignment horizontal="center" vertical="center"/>
      <protection locked="0"/>
    </xf>
    <xf numFmtId="0" fontId="16" fillId="13" borderId="19" xfId="0" applyFont="1" applyFill="1" applyBorder="1" applyAlignment="1" applyProtection="1">
      <alignment horizontal="center" vertical="center"/>
      <protection locked="0"/>
    </xf>
    <xf numFmtId="0" fontId="16" fillId="2" borderId="99"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6" fillId="2" borderId="145"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19" fillId="5" borderId="5"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wrapText="1"/>
      <protection locked="0"/>
    </xf>
    <xf numFmtId="0" fontId="16" fillId="20" borderId="17" xfId="0" applyFont="1" applyFill="1" applyBorder="1" applyAlignment="1" applyProtection="1">
      <alignment horizontal="center" vertical="center" wrapText="1"/>
      <protection locked="0"/>
    </xf>
    <xf numFmtId="0" fontId="16" fillId="20" borderId="12" xfId="0" applyFont="1" applyFill="1" applyBorder="1" applyAlignment="1" applyProtection="1">
      <alignment horizontal="center" vertical="center"/>
      <protection locked="0"/>
    </xf>
    <xf numFmtId="0" fontId="16" fillId="20" borderId="19" xfId="0" applyFont="1" applyFill="1" applyBorder="1" applyAlignment="1" applyProtection="1">
      <alignment horizontal="center" vertical="center"/>
      <protection locked="0"/>
    </xf>
    <xf numFmtId="0" fontId="14" fillId="2" borderId="22"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24" xfId="0" applyFont="1" applyFill="1" applyBorder="1" applyAlignment="1">
      <alignment horizontal="left" vertical="top" wrapText="1"/>
    </xf>
    <xf numFmtId="0" fontId="16" fillId="2" borderId="12" xfId="0" applyFont="1" applyFill="1" applyBorder="1" applyAlignment="1" applyProtection="1">
      <alignment horizontal="center" vertical="center" wrapText="1"/>
      <protection locked="0"/>
    </xf>
    <xf numFmtId="0" fontId="16" fillId="2" borderId="19" xfId="0" applyFont="1" applyFill="1" applyBorder="1" applyAlignment="1" applyProtection="1">
      <alignment horizontal="center" vertical="center" wrapText="1"/>
      <protection locked="0"/>
    </xf>
    <xf numFmtId="0" fontId="19" fillId="5" borderId="25" xfId="0" applyFont="1" applyFill="1" applyBorder="1" applyAlignment="1" applyProtection="1">
      <alignment horizontal="center" vertical="center" wrapText="1"/>
      <protection locked="0"/>
    </xf>
    <xf numFmtId="0" fontId="14" fillId="2" borderId="22" xfId="0" applyFont="1" applyFill="1" applyBorder="1" applyAlignment="1" applyProtection="1">
      <alignment horizontal="center" vertical="center" wrapText="1"/>
      <protection locked="0"/>
    </xf>
    <xf numFmtId="0" fontId="14" fillId="2" borderId="23"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6" fillId="2" borderId="161" xfId="0" applyFont="1" applyFill="1" applyBorder="1" applyAlignment="1" applyProtection="1">
      <alignment horizontal="center" vertical="center"/>
      <protection locked="0"/>
    </xf>
    <xf numFmtId="0" fontId="16" fillId="2" borderId="163" xfId="0" applyFont="1" applyFill="1" applyBorder="1" applyAlignment="1" applyProtection="1">
      <alignment horizontal="center" vertical="center"/>
      <protection locked="0"/>
    </xf>
    <xf numFmtId="0" fontId="16" fillId="14" borderId="17" xfId="0" applyFont="1" applyFill="1" applyBorder="1" applyAlignment="1" applyProtection="1">
      <alignment horizontal="center" vertical="center" wrapText="1"/>
      <protection locked="0"/>
    </xf>
    <xf numFmtId="0" fontId="16" fillId="14" borderId="12" xfId="0" applyFont="1" applyFill="1" applyBorder="1" applyAlignment="1" applyProtection="1">
      <alignment horizontal="center" vertical="center"/>
      <protection locked="0"/>
    </xf>
    <xf numFmtId="0" fontId="16" fillId="14" borderId="19" xfId="0" applyFont="1" applyFill="1" applyBorder="1" applyAlignment="1" applyProtection="1">
      <alignment horizontal="center" vertical="center"/>
      <protection locked="0"/>
    </xf>
    <xf numFmtId="0" fontId="19" fillId="0" borderId="0" xfId="0" applyFont="1" applyAlignment="1" applyProtection="1">
      <alignment horizontal="center" vertical="center" textRotation="90" wrapText="1"/>
      <protection hidden="1"/>
    </xf>
    <xf numFmtId="0" fontId="19" fillId="0" borderId="0" xfId="0" applyFont="1" applyAlignment="1">
      <alignment horizontal="center" vertical="center" textRotation="90" wrapText="1"/>
    </xf>
    <xf numFmtId="0" fontId="20" fillId="0" borderId="0" xfId="0" applyFont="1" applyAlignment="1" applyProtection="1">
      <alignment horizontal="center" vertical="center" wrapText="1"/>
      <protection hidden="1"/>
    </xf>
    <xf numFmtId="2" fontId="41" fillId="0" borderId="0" xfId="0" applyNumberFormat="1" applyFont="1" applyAlignment="1">
      <alignment horizontal="center" vertical="center" textRotation="90" wrapText="1"/>
    </xf>
    <xf numFmtId="2" fontId="40" fillId="0" borderId="0" xfId="0" applyNumberFormat="1" applyFont="1" applyAlignment="1">
      <alignment horizontal="center" vertical="center" wrapText="1"/>
    </xf>
    <xf numFmtId="0" fontId="41" fillId="0" borderId="0" xfId="0" applyFont="1" applyAlignment="1">
      <alignment horizontal="center" vertical="center" textRotation="90" wrapText="1"/>
    </xf>
    <xf numFmtId="0" fontId="40" fillId="0" borderId="0" xfId="0" applyFont="1" applyAlignment="1">
      <alignment horizontal="center" vertical="center" wrapText="1"/>
    </xf>
    <xf numFmtId="0" fontId="16" fillId="2" borderId="161"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protection locked="0"/>
    </xf>
    <xf numFmtId="0" fontId="79" fillId="2" borderId="22" xfId="0" applyFont="1" applyFill="1" applyBorder="1" applyAlignment="1" applyProtection="1">
      <alignment horizontal="center" vertical="center" wrapText="1"/>
      <protection locked="0"/>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14" fillId="0" borderId="43" xfId="0" applyFont="1" applyBorder="1" applyAlignment="1">
      <alignment horizontal="left" vertical="top" wrapText="1"/>
    </xf>
    <xf numFmtId="0" fontId="16"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9" fillId="3"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9" fillId="3" borderId="4"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24" xfId="0" applyFont="1" applyFill="1" applyBorder="1" applyAlignment="1">
      <alignment horizontal="center" vertical="center" wrapText="1"/>
    </xf>
    <xf numFmtId="0" fontId="19" fillId="3" borderId="4" xfId="0" applyFont="1" applyFill="1" applyBorder="1" applyAlignment="1">
      <alignment vertical="center" wrapText="1"/>
    </xf>
    <xf numFmtId="0" fontId="20" fillId="3" borderId="4" xfId="0" applyFont="1" applyFill="1" applyBorder="1" applyAlignment="1">
      <alignment vertical="center" wrapText="1"/>
    </xf>
    <xf numFmtId="0" fontId="20" fillId="3" borderId="124" xfId="0" applyFont="1" applyFill="1" applyBorder="1" applyAlignment="1">
      <alignment vertical="center" wrapText="1"/>
    </xf>
    <xf numFmtId="0" fontId="19" fillId="3" borderId="0" xfId="0" applyFont="1" applyFill="1" applyAlignment="1">
      <alignment horizontal="center" vertical="center"/>
    </xf>
    <xf numFmtId="0" fontId="19" fillId="3" borderId="1" xfId="0" applyFont="1" applyFill="1" applyBorder="1" applyAlignment="1" applyProtection="1">
      <alignment horizontal="center" vertical="center" textRotation="90" wrapText="1"/>
      <protection hidden="1"/>
    </xf>
    <xf numFmtId="0" fontId="19" fillId="3" borderId="2" xfId="0" applyFont="1" applyFill="1" applyBorder="1" applyAlignment="1" applyProtection="1">
      <alignment horizontal="center" vertical="center" textRotation="90" wrapText="1"/>
      <protection hidden="1"/>
    </xf>
    <xf numFmtId="0" fontId="19" fillId="3" borderId="126" xfId="0" applyFont="1" applyFill="1" applyBorder="1" applyAlignment="1">
      <alignment horizontal="center" vertical="center" textRotation="90" wrapText="1"/>
    </xf>
    <xf numFmtId="0" fontId="19" fillId="3" borderId="128" xfId="0" applyFont="1" applyFill="1" applyBorder="1" applyAlignment="1">
      <alignment horizontal="center" vertical="center" textRotation="90" wrapText="1"/>
    </xf>
    <xf numFmtId="0" fontId="19" fillId="3" borderId="130" xfId="0" applyFont="1" applyFill="1" applyBorder="1" applyAlignment="1">
      <alignment horizontal="center" vertical="center" textRotation="90" wrapText="1"/>
    </xf>
    <xf numFmtId="0" fontId="19" fillId="3" borderId="126" xfId="0" applyFont="1" applyFill="1" applyBorder="1" applyAlignment="1" applyProtection="1">
      <alignment horizontal="center" vertical="center" textRotation="90" wrapText="1"/>
      <protection hidden="1"/>
    </xf>
    <xf numFmtId="0" fontId="19" fillId="3" borderId="128" xfId="0" applyFont="1" applyFill="1" applyBorder="1" applyAlignment="1" applyProtection="1">
      <alignment horizontal="center" vertical="center" textRotation="90" wrapText="1"/>
      <protection hidden="1"/>
    </xf>
    <xf numFmtId="0" fontId="19" fillId="3" borderId="130" xfId="0" applyFont="1" applyFill="1" applyBorder="1" applyAlignment="1" applyProtection="1">
      <alignment horizontal="center" vertical="center" textRotation="90" wrapText="1"/>
      <protection hidden="1"/>
    </xf>
    <xf numFmtId="0" fontId="14" fillId="0" borderId="21"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2" borderId="99" xfId="0" applyFont="1" applyFill="1" applyBorder="1" applyAlignment="1" applyProtection="1">
      <alignment horizontal="center" vertical="center" wrapText="1"/>
      <protection locked="0"/>
    </xf>
    <xf numFmtId="0" fontId="14" fillId="2" borderId="99" xfId="0" applyFont="1" applyFill="1" applyBorder="1" applyAlignment="1" applyProtection="1">
      <alignment horizontal="center" vertical="center"/>
      <protection locked="0"/>
    </xf>
    <xf numFmtId="0" fontId="19" fillId="3" borderId="1" xfId="0" applyFont="1" applyFill="1" applyBorder="1" applyAlignment="1">
      <alignment horizontal="center" vertical="center"/>
    </xf>
    <xf numFmtId="0" fontId="19" fillId="3" borderId="66" xfId="0" applyFont="1" applyFill="1" applyBorder="1" applyAlignment="1">
      <alignment horizontal="center" vertical="center"/>
    </xf>
    <xf numFmtId="0" fontId="19" fillId="3" borderId="67" xfId="0" applyFont="1" applyFill="1" applyBorder="1" applyAlignment="1">
      <alignment horizontal="center" vertical="center" textRotation="90" wrapText="1"/>
    </xf>
    <xf numFmtId="0" fontId="19" fillId="3" borderId="1" xfId="0" applyFont="1" applyFill="1" applyBorder="1" applyAlignment="1">
      <alignment horizontal="center" vertical="center" textRotation="90" wrapText="1"/>
    </xf>
    <xf numFmtId="0" fontId="19" fillId="3" borderId="66" xfId="0" applyFont="1" applyFill="1" applyBorder="1" applyAlignment="1">
      <alignment horizontal="center" vertical="center" textRotation="90" wrapText="1"/>
    </xf>
    <xf numFmtId="0" fontId="16" fillId="2" borderId="123" xfId="0" applyFont="1" applyFill="1" applyBorder="1" applyAlignment="1" applyProtection="1">
      <alignment horizontal="center" vertical="center"/>
      <protection locked="0"/>
    </xf>
    <xf numFmtId="0" fontId="19" fillId="3" borderId="125" xfId="0" applyFont="1" applyFill="1" applyBorder="1" applyAlignment="1">
      <alignment horizontal="left" vertical="top" wrapText="1"/>
    </xf>
    <xf numFmtId="0" fontId="20" fillId="3" borderId="127" xfId="0" applyFont="1" applyFill="1" applyBorder="1" applyAlignment="1">
      <alignment horizontal="left" vertical="top" wrapText="1"/>
    </xf>
    <xf numFmtId="0" fontId="20" fillId="3" borderId="129" xfId="0" applyFont="1" applyFill="1" applyBorder="1" applyAlignment="1">
      <alignment horizontal="left" vertical="top" wrapText="1"/>
    </xf>
    <xf numFmtId="0" fontId="19" fillId="3" borderId="67"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66" xfId="0" applyFont="1" applyFill="1" applyBorder="1" applyAlignment="1">
      <alignment horizontal="center" vertical="center" wrapText="1"/>
    </xf>
    <xf numFmtId="0" fontId="19" fillId="3" borderId="67" xfId="0" applyFont="1" applyFill="1" applyBorder="1" applyAlignment="1">
      <alignment horizontal="center" vertical="center"/>
    </xf>
    <xf numFmtId="0" fontId="19" fillId="3" borderId="1" xfId="0" applyFont="1" applyFill="1" applyBorder="1" applyAlignment="1" applyProtection="1">
      <alignment horizontal="center" vertical="center" textRotation="90" wrapText="1"/>
      <protection locked="0"/>
    </xf>
    <xf numFmtId="0" fontId="19" fillId="3" borderId="2" xfId="0" applyFont="1" applyFill="1" applyBorder="1" applyAlignment="1" applyProtection="1">
      <alignment horizontal="center" vertical="center" textRotation="90" wrapText="1"/>
      <protection locked="0"/>
    </xf>
    <xf numFmtId="0" fontId="16" fillId="22" borderId="71" xfId="0" applyFont="1" applyFill="1" applyBorder="1" applyAlignment="1" applyProtection="1">
      <alignment horizontal="center" vertical="center"/>
      <protection locked="0"/>
    </xf>
    <xf numFmtId="0" fontId="16" fillId="22" borderId="33" xfId="0" applyFont="1" applyFill="1" applyBorder="1" applyAlignment="1" applyProtection="1">
      <alignment horizontal="center" vertical="center"/>
      <protection locked="0"/>
    </xf>
    <xf numFmtId="0" fontId="16" fillId="22" borderId="7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wrapText="1"/>
      <protection locked="0"/>
    </xf>
    <xf numFmtId="0" fontId="19" fillId="3" borderId="26"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0" fontId="14" fillId="0" borderId="16" xfId="0" applyFont="1" applyBorder="1" applyAlignment="1">
      <alignment horizontal="left" vertical="top" wrapText="1"/>
    </xf>
    <xf numFmtId="0" fontId="19" fillId="3" borderId="2"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19" fillId="3" borderId="67"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9" fillId="3" borderId="66" xfId="0" applyFont="1" applyFill="1" applyBorder="1" applyAlignment="1" applyProtection="1">
      <alignment horizontal="center" vertical="center" wrapText="1"/>
      <protection locked="0"/>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9" fillId="3" borderId="61" xfId="0" applyFont="1" applyFill="1" applyBorder="1" applyAlignment="1">
      <alignment horizontal="center" vertical="center" wrapText="1"/>
    </xf>
    <xf numFmtId="0" fontId="19" fillId="3" borderId="67" xfId="0" applyFont="1" applyFill="1" applyBorder="1" applyAlignment="1" applyProtection="1">
      <alignment horizontal="center" vertical="center" textRotation="90" wrapText="1"/>
      <protection locked="0"/>
    </xf>
    <xf numFmtId="0" fontId="19" fillId="3" borderId="66" xfId="0" applyFont="1" applyFill="1" applyBorder="1" applyAlignment="1" applyProtection="1">
      <alignment horizontal="center" vertical="center" textRotation="90" wrapText="1"/>
      <protection locked="0"/>
    </xf>
    <xf numFmtId="0" fontId="19" fillId="3" borderId="87" xfId="0" applyFont="1" applyFill="1" applyBorder="1" applyAlignment="1" applyProtection="1">
      <alignment horizontal="center" vertical="center"/>
      <protection locked="0"/>
    </xf>
    <xf numFmtId="0" fontId="19" fillId="3" borderId="88" xfId="0"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14" fillId="2" borderId="71" xfId="0"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protection locked="0"/>
    </xf>
    <xf numFmtId="0" fontId="14" fillId="2" borderId="74" xfId="0" applyFont="1" applyFill="1" applyBorder="1" applyAlignment="1" applyProtection="1">
      <alignment horizontal="center" vertical="center"/>
      <protection locked="0"/>
    </xf>
    <xf numFmtId="168" fontId="20" fillId="0" borderId="0" xfId="0" applyNumberFormat="1" applyFont="1" applyAlignment="1" applyProtection="1">
      <alignment horizontal="center" vertical="center" wrapText="1"/>
      <protection hidden="1"/>
    </xf>
    <xf numFmtId="0" fontId="16" fillId="2" borderId="22" xfId="0" applyFont="1" applyFill="1" applyBorder="1" applyAlignment="1" applyProtection="1">
      <alignment horizontal="justify" vertical="center" wrapText="1"/>
      <protection locked="0"/>
    </xf>
    <xf numFmtId="0" fontId="16" fillId="2" borderId="23" xfId="0" applyFont="1" applyFill="1" applyBorder="1" applyAlignment="1" applyProtection="1">
      <alignment horizontal="justify" vertical="center" wrapText="1"/>
      <protection locked="0"/>
    </xf>
    <xf numFmtId="0" fontId="16" fillId="2" borderId="24" xfId="0" applyFont="1" applyFill="1" applyBorder="1" applyAlignment="1" applyProtection="1">
      <alignment horizontal="justify" vertical="center" wrapText="1"/>
      <protection locked="0"/>
    </xf>
    <xf numFmtId="0" fontId="17" fillId="2" borderId="23"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21" fillId="7" borderId="27" xfId="0" applyFont="1" applyFill="1" applyBorder="1" applyAlignment="1">
      <alignment horizontal="left" vertical="top" wrapText="1"/>
    </xf>
    <xf numFmtId="0" fontId="19" fillId="7" borderId="27" xfId="0" applyFont="1" applyFill="1" applyBorder="1" applyAlignment="1">
      <alignment horizontal="left" vertical="top" wrapText="1"/>
    </xf>
    <xf numFmtId="0" fontId="21" fillId="7" borderId="68" xfId="0" applyFont="1" applyFill="1" applyBorder="1" applyAlignment="1">
      <alignment horizontal="left" vertical="top" wrapText="1"/>
    </xf>
    <xf numFmtId="0" fontId="19" fillId="7" borderId="85" xfId="0" applyFont="1" applyFill="1" applyBorder="1" applyAlignment="1" applyProtection="1">
      <alignment horizontal="center" vertical="center" textRotation="90" wrapText="1"/>
      <protection hidden="1"/>
    </xf>
    <xf numFmtId="0" fontId="19" fillId="7" borderId="86" xfId="0" applyFont="1" applyFill="1" applyBorder="1" applyAlignment="1" applyProtection="1">
      <alignment horizontal="center" vertical="center" textRotation="90" wrapText="1"/>
      <protection hidden="1"/>
    </xf>
    <xf numFmtId="0" fontId="19" fillId="7" borderId="85" xfId="0" applyFont="1" applyFill="1" applyBorder="1" applyAlignment="1">
      <alignment horizontal="center" vertical="center" textRotation="90" wrapText="1"/>
    </xf>
    <xf numFmtId="0" fontId="19" fillId="7" borderId="86" xfId="0" applyFont="1" applyFill="1" applyBorder="1" applyAlignment="1">
      <alignment horizontal="center" vertical="center" textRotation="90" wrapText="1"/>
    </xf>
    <xf numFmtId="0" fontId="19" fillId="7" borderId="0" xfId="0" applyFont="1" applyFill="1" applyAlignment="1">
      <alignment horizontal="center" vertical="center"/>
    </xf>
    <xf numFmtId="0" fontId="14" fillId="0" borderId="67" xfId="0" applyFont="1" applyBorder="1" applyAlignment="1">
      <alignment horizontal="justify" vertical="top" wrapText="1"/>
    </xf>
    <xf numFmtId="0" fontId="14" fillId="0" borderId="1" xfId="0" applyFont="1" applyBorder="1" applyAlignment="1">
      <alignment horizontal="justify" vertical="top" wrapText="1"/>
    </xf>
    <xf numFmtId="0" fontId="14" fillId="0" borderId="66" xfId="0" applyFont="1" applyBorder="1" applyAlignment="1">
      <alignment horizontal="justify" vertical="top" wrapText="1"/>
    </xf>
    <xf numFmtId="0" fontId="14" fillId="0" borderId="17" xfId="0" applyFont="1" applyBorder="1" applyAlignment="1" applyProtection="1">
      <alignment horizontal="center" vertical="center" wrapText="1"/>
      <protection locked="0"/>
    </xf>
    <xf numFmtId="0" fontId="19" fillId="7" borderId="27" xfId="0" applyFont="1" applyFill="1" applyBorder="1" applyAlignment="1">
      <alignment horizontal="center" vertical="center"/>
    </xf>
    <xf numFmtId="0" fontId="14" fillId="0" borderId="65" xfId="0" applyFont="1" applyBorder="1" applyAlignment="1">
      <alignment horizontal="justify" vertical="top" wrapText="1"/>
    </xf>
    <xf numFmtId="0" fontId="14" fillId="2" borderId="17" xfId="0" quotePrefix="1" applyFont="1" applyFill="1" applyBorder="1" applyAlignment="1" applyProtection="1">
      <alignment horizontal="center" vertical="center" wrapText="1"/>
      <protection locked="0"/>
    </xf>
    <xf numFmtId="0" fontId="16" fillId="0" borderId="67" xfId="0" applyFont="1" applyBorder="1" applyAlignment="1">
      <alignment horizontal="justify" vertical="top" wrapText="1"/>
    </xf>
    <xf numFmtId="0" fontId="16" fillId="0" borderId="1" xfId="0" applyFont="1" applyBorder="1" applyAlignment="1">
      <alignment horizontal="justify" vertical="top" wrapText="1"/>
    </xf>
    <xf numFmtId="0" fontId="16" fillId="0" borderId="66" xfId="0" applyFont="1" applyBorder="1" applyAlignment="1">
      <alignment horizontal="justify" vertical="top" wrapText="1"/>
    </xf>
    <xf numFmtId="0" fontId="16" fillId="2" borderId="17" xfId="0" quotePrefix="1" applyFont="1" applyFill="1" applyBorder="1" applyAlignment="1" applyProtection="1">
      <alignment horizontal="center" vertical="center" wrapText="1"/>
      <protection locked="0"/>
    </xf>
    <xf numFmtId="0" fontId="19" fillId="7" borderId="27" xfId="0" applyFont="1" applyFill="1" applyBorder="1" applyAlignment="1">
      <alignment horizontal="center" vertical="center" wrapText="1"/>
    </xf>
    <xf numFmtId="0" fontId="19" fillId="7" borderId="27" xfId="0" applyFont="1" applyFill="1" applyBorder="1" applyAlignment="1" applyProtection="1">
      <alignment horizontal="center" vertical="center" wrapText="1"/>
      <protection locked="0"/>
    </xf>
    <xf numFmtId="0" fontId="19" fillId="7" borderId="27" xfId="0" applyFont="1" applyFill="1" applyBorder="1" applyAlignment="1" applyProtection="1">
      <alignment horizontal="center" vertical="center" textRotation="90" wrapText="1"/>
      <protection locked="0"/>
    </xf>
    <xf numFmtId="0" fontId="16" fillId="2" borderId="3" xfId="0" applyFont="1" applyFill="1" applyBorder="1" applyAlignment="1">
      <alignment horizontal="justify" vertical="top" wrapText="1"/>
    </xf>
    <xf numFmtId="0" fontId="16" fillId="2" borderId="1" xfId="0" applyFont="1" applyFill="1" applyBorder="1" applyAlignment="1">
      <alignment horizontal="justify" vertical="top" wrapText="1"/>
    </xf>
    <xf numFmtId="0" fontId="16" fillId="2" borderId="67" xfId="0" applyFont="1" applyFill="1" applyBorder="1" applyAlignment="1">
      <alignment horizontal="justify" vertical="top" wrapText="1"/>
    </xf>
    <xf numFmtId="0" fontId="16" fillId="2" borderId="66" xfId="0" applyFont="1" applyFill="1" applyBorder="1" applyAlignment="1">
      <alignment horizontal="justify" vertical="top" wrapText="1"/>
    </xf>
    <xf numFmtId="0" fontId="19" fillId="7" borderId="27" xfId="0" applyFont="1" applyFill="1" applyBorder="1" applyAlignment="1" applyProtection="1">
      <alignment horizontal="center" vertical="center"/>
      <protection locked="0"/>
    </xf>
    <xf numFmtId="0" fontId="19" fillId="7" borderId="27" xfId="0" applyFont="1" applyFill="1" applyBorder="1" applyAlignment="1">
      <alignment horizontal="center" vertical="center" textRotation="90" wrapText="1"/>
    </xf>
    <xf numFmtId="0" fontId="14" fillId="0" borderId="119" xfId="0" applyFont="1" applyBorder="1" applyAlignment="1">
      <alignment horizontal="left" vertical="top" wrapText="1"/>
    </xf>
    <xf numFmtId="0" fontId="14" fillId="0" borderId="120" xfId="0" applyFont="1" applyBorder="1" applyAlignment="1">
      <alignment horizontal="left" vertical="top" wrapText="1"/>
    </xf>
    <xf numFmtId="0" fontId="14" fillId="0" borderId="121" xfId="0" applyFont="1" applyBorder="1" applyAlignment="1">
      <alignment horizontal="left" vertical="top" wrapText="1"/>
    </xf>
    <xf numFmtId="0" fontId="14" fillId="0" borderId="61" xfId="0" applyFont="1" applyBorder="1" applyAlignment="1">
      <alignment horizontal="justify" vertical="top" wrapText="1"/>
    </xf>
    <xf numFmtId="0" fontId="14" fillId="0" borderId="25" xfId="0" applyFont="1" applyBorder="1" applyAlignment="1">
      <alignment horizontal="justify" vertical="top" wrapText="1"/>
    </xf>
    <xf numFmtId="0" fontId="14" fillId="0" borderId="26" xfId="0" applyFont="1" applyBorder="1" applyAlignment="1">
      <alignment horizontal="justify" vertical="top" wrapText="1"/>
    </xf>
    <xf numFmtId="0" fontId="16" fillId="0" borderId="61" xfId="0" applyFont="1" applyBorder="1" applyAlignment="1">
      <alignment horizontal="justify" vertical="top" wrapText="1"/>
    </xf>
    <xf numFmtId="0" fontId="16" fillId="0" borderId="25" xfId="0" applyFont="1" applyBorder="1" applyAlignment="1">
      <alignment horizontal="justify" vertical="top" wrapText="1"/>
    </xf>
    <xf numFmtId="0" fontId="16" fillId="0" borderId="26" xfId="0" applyFont="1" applyBorder="1" applyAlignment="1">
      <alignment horizontal="justify" vertical="top" wrapText="1"/>
    </xf>
    <xf numFmtId="0" fontId="19" fillId="7" borderId="62" xfId="0" applyFont="1" applyFill="1" applyBorder="1" applyAlignment="1">
      <alignment horizontal="center" vertical="center" wrapText="1"/>
    </xf>
    <xf numFmtId="0" fontId="19" fillId="7" borderId="63" xfId="0" applyFont="1" applyFill="1" applyBorder="1" applyAlignment="1">
      <alignment horizontal="center" vertical="center" wrapText="1"/>
    </xf>
    <xf numFmtId="0" fontId="19" fillId="7" borderId="64" xfId="0" applyFont="1" applyFill="1" applyBorder="1" applyAlignment="1">
      <alignment horizontal="center" vertical="center" wrapText="1"/>
    </xf>
    <xf numFmtId="0" fontId="19" fillId="0" borderId="0" xfId="0" applyFont="1" applyAlignment="1">
      <alignment horizontal="left" vertical="center" wrapText="1"/>
    </xf>
    <xf numFmtId="0" fontId="19" fillId="7" borderId="62" xfId="0" applyFont="1" applyFill="1" applyBorder="1" applyAlignment="1" applyProtection="1">
      <alignment horizontal="center" vertical="center" wrapText="1"/>
      <protection locked="0"/>
    </xf>
    <xf numFmtId="0" fontId="19" fillId="7" borderId="63" xfId="0" applyFont="1" applyFill="1" applyBorder="1" applyAlignment="1" applyProtection="1">
      <alignment horizontal="center" vertical="center" wrapText="1"/>
      <protection locked="0"/>
    </xf>
    <xf numFmtId="0" fontId="19" fillId="7" borderId="64" xfId="0" applyFont="1" applyFill="1" applyBorder="1" applyAlignment="1" applyProtection="1">
      <alignment horizontal="center" vertical="center" wrapText="1"/>
      <protection locked="0"/>
    </xf>
    <xf numFmtId="0" fontId="16" fillId="2" borderId="100" xfId="0" applyFont="1" applyFill="1" applyBorder="1" applyAlignment="1" applyProtection="1">
      <alignment horizontal="center" vertical="center" wrapText="1"/>
      <protection hidden="1"/>
    </xf>
    <xf numFmtId="0" fontId="16" fillId="2" borderId="97" xfId="0" applyFont="1" applyFill="1" applyBorder="1" applyAlignment="1" applyProtection="1">
      <alignment horizontal="center" vertical="center" wrapText="1"/>
      <protection hidden="1"/>
    </xf>
    <xf numFmtId="0" fontId="16" fillId="2" borderId="101" xfId="0" applyFont="1" applyFill="1" applyBorder="1" applyAlignment="1" applyProtection="1">
      <alignment horizontal="center" vertical="center" wrapText="1"/>
      <protection hidden="1"/>
    </xf>
    <xf numFmtId="0" fontId="14" fillId="2" borderId="41" xfId="0" applyFont="1" applyFill="1" applyBorder="1" applyAlignment="1">
      <alignment horizontal="left" vertical="top" wrapText="1"/>
    </xf>
    <xf numFmtId="0" fontId="14" fillId="2" borderId="42" xfId="0" applyFont="1" applyFill="1" applyBorder="1" applyAlignment="1">
      <alignment horizontal="left" vertical="top" wrapText="1"/>
    </xf>
    <xf numFmtId="0" fontId="14" fillId="2" borderId="43" xfId="0" applyFont="1" applyFill="1" applyBorder="1" applyAlignment="1">
      <alignment horizontal="left" vertical="top" wrapText="1"/>
    </xf>
    <xf numFmtId="0" fontId="20" fillId="8" borderId="27" xfId="0" applyFont="1" applyFill="1" applyBorder="1" applyAlignment="1">
      <alignment horizontal="left" vertical="center" wrapText="1"/>
    </xf>
    <xf numFmtId="0" fontId="19" fillId="8" borderId="27" xfId="0" applyFont="1" applyFill="1" applyBorder="1" applyAlignment="1">
      <alignment horizontal="left" vertical="center" wrapText="1"/>
    </xf>
    <xf numFmtId="0" fontId="79" fillId="2" borderId="83" xfId="0" applyFont="1" applyFill="1" applyBorder="1" applyAlignment="1" applyProtection="1">
      <alignment horizontal="center" vertical="center" wrapText="1"/>
      <protection hidden="1"/>
    </xf>
    <xf numFmtId="0" fontId="79" fillId="2" borderId="13" xfId="0" applyFont="1" applyFill="1" applyBorder="1" applyAlignment="1" applyProtection="1">
      <alignment horizontal="center" vertical="center" wrapText="1"/>
      <protection hidden="1"/>
    </xf>
    <xf numFmtId="0" fontId="79" fillId="2" borderId="84" xfId="0" applyFont="1" applyFill="1" applyBorder="1" applyAlignment="1" applyProtection="1">
      <alignment horizontal="center" vertical="center" wrapText="1"/>
      <protection hidden="1"/>
    </xf>
    <xf numFmtId="0" fontId="19" fillId="8" borderId="85" xfId="0" applyFont="1" applyFill="1" applyBorder="1" applyAlignment="1" applyProtection="1">
      <alignment horizontal="center" vertical="center" textRotation="90" wrapText="1"/>
      <protection hidden="1"/>
    </xf>
    <xf numFmtId="0" fontId="19" fillId="8" borderId="86" xfId="0" applyFont="1" applyFill="1" applyBorder="1" applyAlignment="1" applyProtection="1">
      <alignment horizontal="center" vertical="center" textRotation="90" wrapText="1"/>
      <protection hidden="1"/>
    </xf>
    <xf numFmtId="0" fontId="19" fillId="8" borderId="85" xfId="0" applyFont="1" applyFill="1" applyBorder="1" applyAlignment="1">
      <alignment horizontal="center" vertical="center" textRotation="90" wrapText="1"/>
    </xf>
    <xf numFmtId="0" fontId="19" fillId="8" borderId="86" xfId="0" applyFont="1" applyFill="1" applyBorder="1" applyAlignment="1">
      <alignment horizontal="center" vertical="center" textRotation="90" wrapText="1"/>
    </xf>
    <xf numFmtId="0" fontId="79" fillId="2" borderId="17" xfId="0" applyFont="1" applyFill="1" applyBorder="1" applyAlignment="1" applyProtection="1">
      <alignment horizontal="center" vertical="center" wrapText="1"/>
      <protection locked="0"/>
    </xf>
    <xf numFmtId="0" fontId="79" fillId="2" borderId="12" xfId="0" applyFont="1" applyFill="1" applyBorder="1" applyAlignment="1" applyProtection="1">
      <alignment horizontal="center" vertical="center" wrapText="1"/>
      <protection locked="0"/>
    </xf>
    <xf numFmtId="0" fontId="79" fillId="2" borderId="19" xfId="0" applyFont="1" applyFill="1" applyBorder="1" applyAlignment="1" applyProtection="1">
      <alignment horizontal="center" vertical="center" wrapText="1"/>
      <protection locked="0"/>
    </xf>
    <xf numFmtId="0" fontId="79" fillId="2" borderId="17" xfId="0" applyFont="1" applyFill="1" applyBorder="1" applyAlignment="1" applyProtection="1">
      <alignment horizontal="center" vertical="center"/>
      <protection locked="0"/>
    </xf>
    <xf numFmtId="0" fontId="79" fillId="2" borderId="12" xfId="0" applyFont="1" applyFill="1" applyBorder="1" applyAlignment="1" applyProtection="1">
      <alignment horizontal="center" vertical="center"/>
      <protection locked="0"/>
    </xf>
    <xf numFmtId="0" fontId="79" fillId="2" borderId="19" xfId="0" applyFont="1" applyFill="1" applyBorder="1" applyAlignment="1" applyProtection="1">
      <alignment horizontal="center" vertical="center"/>
      <protection locked="0"/>
    </xf>
    <xf numFmtId="0" fontId="79" fillId="2" borderId="71" xfId="0" applyFont="1" applyFill="1" applyBorder="1" applyAlignment="1" applyProtection="1">
      <alignment horizontal="center" vertical="center"/>
      <protection locked="0"/>
    </xf>
    <xf numFmtId="0" fontId="79" fillId="2" borderId="33" xfId="0" applyFont="1" applyFill="1" applyBorder="1" applyAlignment="1" applyProtection="1">
      <alignment horizontal="center" vertical="center"/>
      <protection locked="0"/>
    </xf>
    <xf numFmtId="0" fontId="79" fillId="2" borderId="74" xfId="0" applyFont="1" applyFill="1" applyBorder="1" applyAlignment="1" applyProtection="1">
      <alignment horizontal="center" vertical="center"/>
      <protection locked="0"/>
    </xf>
    <xf numFmtId="0" fontId="19" fillId="8" borderId="0" xfId="0" applyFont="1" applyFill="1" applyAlignment="1">
      <alignment horizontal="center" vertical="center"/>
    </xf>
    <xf numFmtId="0" fontId="19" fillId="8" borderId="27" xfId="0" applyFont="1" applyFill="1" applyBorder="1" applyAlignment="1">
      <alignment horizontal="center" vertical="center" wrapText="1"/>
    </xf>
    <xf numFmtId="0" fontId="16" fillId="2" borderId="22"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9" fillId="8" borderId="27" xfId="0" applyFont="1" applyFill="1" applyBorder="1" applyAlignment="1">
      <alignment horizontal="center" vertical="center"/>
    </xf>
    <xf numFmtId="0" fontId="19" fillId="8" borderId="27" xfId="0" applyFont="1" applyFill="1" applyBorder="1" applyAlignment="1">
      <alignment horizontal="center" vertical="center" textRotation="90" wrapText="1"/>
    </xf>
    <xf numFmtId="0" fontId="19" fillId="8" borderId="62" xfId="0" applyFont="1" applyFill="1" applyBorder="1" applyAlignment="1">
      <alignment horizontal="center" vertical="center" wrapText="1"/>
    </xf>
    <xf numFmtId="0" fontId="19" fillId="8" borderId="63" xfId="0" applyFont="1" applyFill="1" applyBorder="1" applyAlignment="1">
      <alignment horizontal="center" vertical="center" wrapText="1"/>
    </xf>
    <xf numFmtId="0" fontId="19" fillId="8" borderId="64" xfId="0" applyFont="1" applyFill="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9" fillId="8" borderId="27" xfId="0" applyFont="1" applyFill="1" applyBorder="1" applyAlignment="1" applyProtection="1">
      <alignment horizontal="center" vertical="center" wrapText="1"/>
      <protection locked="0"/>
    </xf>
    <xf numFmtId="0" fontId="19" fillId="8" borderId="27" xfId="0" applyFont="1" applyFill="1" applyBorder="1" applyAlignment="1" applyProtection="1">
      <alignment horizontal="center" vertical="center"/>
      <protection locked="0"/>
    </xf>
    <xf numFmtId="0" fontId="16" fillId="2" borderId="72" xfId="0" applyFont="1" applyFill="1" applyBorder="1" applyAlignment="1" applyProtection="1">
      <alignment horizontal="center" vertical="center"/>
      <protection locked="0"/>
    </xf>
    <xf numFmtId="0" fontId="16" fillId="2" borderId="173" xfId="0" applyFont="1" applyFill="1" applyBorder="1" applyAlignment="1" applyProtection="1">
      <alignment horizontal="center" vertical="center"/>
      <protection locked="0"/>
    </xf>
    <xf numFmtId="0" fontId="16" fillId="2" borderId="174" xfId="0" applyFont="1" applyFill="1" applyBorder="1" applyAlignment="1" applyProtection="1">
      <alignment horizontal="center" vertical="center"/>
      <protection locked="0"/>
    </xf>
    <xf numFmtId="0" fontId="14" fillId="2" borderId="16" xfId="0" applyFont="1" applyFill="1" applyBorder="1" applyAlignment="1">
      <alignment horizontal="left" vertical="top" wrapText="1"/>
    </xf>
    <xf numFmtId="0" fontId="14" fillId="2" borderId="14" xfId="0" applyFont="1" applyFill="1" applyBorder="1" applyAlignment="1">
      <alignment horizontal="left" vertical="top" wrapText="1"/>
    </xf>
    <xf numFmtId="0" fontId="14" fillId="2" borderId="15" xfId="0" applyFont="1" applyFill="1" applyBorder="1" applyAlignment="1">
      <alignment horizontal="left" vertical="top" wrapText="1"/>
    </xf>
    <xf numFmtId="0" fontId="40" fillId="0" borderId="22" xfId="0" applyFont="1" applyBorder="1" applyAlignment="1">
      <alignment horizontal="left" vertical="top" wrapText="1"/>
    </xf>
    <xf numFmtId="0" fontId="40" fillId="0" borderId="23" xfId="0" applyFont="1" applyBorder="1" applyAlignment="1">
      <alignment horizontal="left" vertical="top" wrapText="1"/>
    </xf>
    <xf numFmtId="0" fontId="40" fillId="0" borderId="24" xfId="0" applyFont="1" applyBorder="1" applyAlignment="1">
      <alignment horizontal="left" vertical="top" wrapText="1"/>
    </xf>
    <xf numFmtId="0" fontId="14" fillId="0" borderId="41" xfId="0" quotePrefix="1" applyFont="1" applyBorder="1" applyAlignment="1">
      <alignment vertical="top" wrapText="1"/>
    </xf>
    <xf numFmtId="0" fontId="14" fillId="0" borderId="42" xfId="0" applyFont="1" applyBorder="1" applyAlignment="1">
      <alignment vertical="top" wrapText="1"/>
    </xf>
    <xf numFmtId="0" fontId="14" fillId="0" borderId="43" xfId="0" applyFont="1" applyBorder="1" applyAlignment="1">
      <alignment vertical="top" wrapText="1"/>
    </xf>
    <xf numFmtId="0" fontId="19" fillId="8" borderId="27" xfId="0" applyFont="1" applyFill="1" applyBorder="1" applyAlignment="1" applyProtection="1">
      <alignment horizontal="center" vertical="center" textRotation="90" wrapText="1"/>
      <protection locked="0"/>
    </xf>
    <xf numFmtId="0" fontId="19" fillId="8" borderId="62" xfId="0" applyFont="1" applyFill="1" applyBorder="1" applyAlignment="1" applyProtection="1">
      <alignment horizontal="center" vertical="center" wrapText="1"/>
      <protection locked="0"/>
    </xf>
    <xf numFmtId="0" fontId="19" fillId="8" borderId="63" xfId="0" applyFont="1" applyFill="1" applyBorder="1" applyAlignment="1" applyProtection="1">
      <alignment horizontal="center" vertical="center" wrapText="1"/>
      <protection locked="0"/>
    </xf>
    <xf numFmtId="0" fontId="19" fillId="8" borderId="64" xfId="0" applyFont="1" applyFill="1" applyBorder="1" applyAlignment="1" applyProtection="1">
      <alignment horizontal="center" vertical="center" wrapText="1"/>
      <protection locked="0"/>
    </xf>
    <xf numFmtId="167" fontId="19" fillId="0" borderId="0" xfId="0" applyNumberFormat="1" applyFont="1" applyAlignment="1">
      <alignment horizontal="center" vertical="center" textRotation="90" wrapText="1"/>
    </xf>
    <xf numFmtId="167" fontId="20" fillId="0" borderId="0" xfId="0" applyNumberFormat="1" applyFont="1" applyAlignment="1" applyProtection="1">
      <alignment horizontal="center" vertical="center" wrapText="1"/>
      <protection hidden="1"/>
    </xf>
    <xf numFmtId="167" fontId="19" fillId="0" borderId="0" xfId="0" applyNumberFormat="1" applyFont="1" applyAlignment="1" applyProtection="1">
      <alignment horizontal="center" vertical="center" textRotation="90" wrapText="1"/>
      <protection hidden="1"/>
    </xf>
    <xf numFmtId="0" fontId="79" fillId="2" borderId="170" xfId="0" applyFont="1" applyFill="1" applyBorder="1" applyAlignment="1" applyProtection="1">
      <alignment horizontal="center" vertical="center" wrapText="1"/>
      <protection locked="0"/>
    </xf>
    <xf numFmtId="0" fontId="79" fillId="2" borderId="171" xfId="0" applyFont="1" applyFill="1" applyBorder="1" applyAlignment="1" applyProtection="1">
      <alignment horizontal="center" vertical="center" wrapText="1"/>
      <protection locked="0"/>
    </xf>
    <xf numFmtId="0" fontId="79" fillId="2" borderId="172" xfId="0" applyFont="1" applyFill="1" applyBorder="1" applyAlignment="1" applyProtection="1">
      <alignment horizontal="center" vertical="center" wrapText="1"/>
      <protection locked="0"/>
    </xf>
    <xf numFmtId="0" fontId="29" fillId="18" borderId="87" xfId="3" applyFont="1" applyFill="1" applyBorder="1" applyAlignment="1">
      <alignment horizontal="center" vertical="center"/>
    </xf>
    <xf numFmtId="0" fontId="29" fillId="18" borderId="88" xfId="3" applyFont="1" applyFill="1" applyBorder="1" applyAlignment="1">
      <alignment horizontal="center" vertical="center" wrapText="1"/>
    </xf>
    <xf numFmtId="9" fontId="29" fillId="18" borderId="88" xfId="6" applyFont="1" applyFill="1" applyBorder="1" applyAlignment="1" applyProtection="1">
      <alignment horizontal="center" vertical="center" wrapText="1"/>
    </xf>
    <xf numFmtId="0" fontId="29" fillId="18" borderId="110" xfId="3" applyFont="1" applyFill="1" applyBorder="1" applyAlignment="1">
      <alignment horizontal="center" vertical="center"/>
    </xf>
    <xf numFmtId="0" fontId="28" fillId="18" borderId="118" xfId="3" applyFont="1" applyFill="1" applyBorder="1" applyAlignment="1">
      <alignment horizontal="center" vertical="center" wrapText="1"/>
    </xf>
    <xf numFmtId="0" fontId="28" fillId="18" borderId="111" xfId="3" applyFont="1" applyFill="1" applyBorder="1" applyAlignment="1">
      <alignment horizontal="center" vertical="center" wrapText="1"/>
    </xf>
    <xf numFmtId="9" fontId="33" fillId="2" borderId="61" xfId="3" applyNumberFormat="1" applyFont="1" applyFill="1" applyBorder="1" applyAlignment="1" applyProtection="1">
      <alignment horizontal="center" vertical="center"/>
      <protection hidden="1"/>
    </xf>
    <xf numFmtId="9" fontId="33" fillId="2" borderId="25" xfId="3" applyNumberFormat="1" applyFont="1" applyFill="1" applyBorder="1" applyAlignment="1" applyProtection="1">
      <alignment horizontal="center" vertical="center"/>
      <protection hidden="1"/>
    </xf>
    <xf numFmtId="9" fontId="33" fillId="2" borderId="3" xfId="3" applyNumberFormat="1" applyFont="1" applyFill="1" applyBorder="1" applyAlignment="1" applyProtection="1">
      <alignment horizontal="center" vertical="center"/>
      <protection hidden="1"/>
    </xf>
    <xf numFmtId="9" fontId="33" fillId="2" borderId="2" xfId="3" applyNumberFormat="1" applyFont="1" applyFill="1" applyBorder="1" applyAlignment="1" applyProtection="1">
      <alignment horizontal="center" vertical="center"/>
      <protection hidden="1"/>
    </xf>
    <xf numFmtId="9" fontId="33" fillId="2" borderId="1" xfId="3" applyNumberFormat="1" applyFont="1" applyFill="1" applyBorder="1" applyAlignment="1" applyProtection="1">
      <alignment horizontal="center" vertical="center"/>
      <protection hidden="1"/>
    </xf>
    <xf numFmtId="0" fontId="10" fillId="15" borderId="132" xfId="3" applyFont="1" applyFill="1" applyBorder="1" applyAlignment="1">
      <alignment horizontal="center" vertical="center"/>
    </xf>
    <xf numFmtId="0" fontId="10" fillId="15" borderId="69" xfId="3" applyFont="1" applyFill="1" applyBorder="1" applyAlignment="1">
      <alignment horizontal="center" vertical="center"/>
    </xf>
    <xf numFmtId="0" fontId="6" fillId="0" borderId="69" xfId="3" applyFont="1" applyBorder="1" applyAlignment="1">
      <alignment horizontal="justify" vertical="center" wrapText="1"/>
    </xf>
    <xf numFmtId="0" fontId="38" fillId="3" borderId="91" xfId="0" applyFont="1" applyFill="1" applyBorder="1" applyAlignment="1">
      <alignment horizontal="center" vertical="center"/>
    </xf>
    <xf numFmtId="0" fontId="38" fillId="3" borderId="92" xfId="0" applyFont="1" applyFill="1" applyBorder="1" applyAlignment="1">
      <alignment horizontal="center" vertical="center"/>
    </xf>
    <xf numFmtId="0" fontId="38" fillId="3" borderId="93" xfId="0" applyFont="1" applyFill="1" applyBorder="1" applyAlignment="1">
      <alignment horizontal="center" vertical="center"/>
    </xf>
    <xf numFmtId="0" fontId="29" fillId="3" borderId="140" xfId="3" applyFont="1" applyFill="1" applyBorder="1" applyAlignment="1">
      <alignment horizontal="center" vertical="center" wrapText="1"/>
    </xf>
    <xf numFmtId="0" fontId="29" fillId="3" borderId="141" xfId="3" applyFont="1" applyFill="1" applyBorder="1" applyAlignment="1">
      <alignment horizontal="center" vertical="center" wrapText="1"/>
    </xf>
    <xf numFmtId="0" fontId="10" fillId="16" borderId="137" xfId="3" applyFont="1" applyFill="1" applyBorder="1" applyAlignment="1">
      <alignment horizontal="center" vertical="center"/>
    </xf>
    <xf numFmtId="0" fontId="10" fillId="16" borderId="138" xfId="3" applyFont="1" applyFill="1" applyBorder="1" applyAlignment="1">
      <alignment horizontal="center" vertical="center"/>
    </xf>
    <xf numFmtId="0" fontId="6" fillId="0" borderId="138" xfId="3" applyFont="1" applyBorder="1" applyAlignment="1">
      <alignment horizontal="justify" vertical="center" wrapText="1"/>
    </xf>
    <xf numFmtId="0" fontId="29" fillId="3" borderId="142" xfId="3" applyFont="1" applyFill="1" applyBorder="1" applyAlignment="1">
      <alignment horizontal="center" vertical="center" wrapText="1"/>
    </xf>
    <xf numFmtId="0" fontId="6" fillId="0" borderId="139" xfId="3" applyFont="1" applyBorder="1" applyAlignment="1">
      <alignment horizontal="justify" vertical="center" wrapText="1"/>
    </xf>
    <xf numFmtId="0" fontId="6" fillId="0" borderId="133" xfId="3" applyFont="1" applyBorder="1" applyAlignment="1">
      <alignment horizontal="justify" vertical="center" wrapText="1"/>
    </xf>
    <xf numFmtId="0" fontId="10" fillId="13" borderId="134" xfId="3" applyFont="1" applyFill="1" applyBorder="1" applyAlignment="1">
      <alignment horizontal="center" vertical="center" wrapText="1"/>
    </xf>
    <xf numFmtId="0" fontId="10" fillId="13" borderId="135" xfId="3" applyFont="1" applyFill="1" applyBorder="1" applyAlignment="1">
      <alignment horizontal="center" vertical="center"/>
    </xf>
    <xf numFmtId="0" fontId="6" fillId="0" borderId="135" xfId="3" applyFont="1" applyBorder="1" applyAlignment="1">
      <alignment horizontal="justify" vertical="center" wrapText="1"/>
    </xf>
    <xf numFmtId="0" fontId="28" fillId="18" borderId="80" xfId="3" applyFont="1" applyFill="1" applyBorder="1" applyAlignment="1">
      <alignment horizontal="center" vertical="center" wrapText="1"/>
    </xf>
    <xf numFmtId="0" fontId="28" fillId="18" borderId="82" xfId="3" applyFont="1" applyFill="1" applyBorder="1" applyAlignment="1">
      <alignment horizontal="center" vertical="center" wrapText="1"/>
    </xf>
    <xf numFmtId="0" fontId="10" fillId="14" borderId="132" xfId="3" applyFont="1" applyFill="1" applyBorder="1" applyAlignment="1">
      <alignment horizontal="center" vertical="center" wrapText="1"/>
    </xf>
    <xf numFmtId="0" fontId="10" fillId="14" borderId="69" xfId="3" applyFont="1" applyFill="1" applyBorder="1" applyAlignment="1">
      <alignment horizontal="center" vertical="center"/>
    </xf>
    <xf numFmtId="0" fontId="28" fillId="3" borderId="17" xfId="3" applyFont="1" applyFill="1" applyBorder="1" applyAlignment="1">
      <alignment horizontal="center" vertical="center" wrapText="1"/>
    </xf>
    <xf numFmtId="0" fontId="28" fillId="3" borderId="24" xfId="3" applyFont="1" applyFill="1" applyBorder="1" applyAlignment="1">
      <alignment horizontal="center" vertical="center" wrapText="1"/>
    </xf>
    <xf numFmtId="0" fontId="6" fillId="0" borderId="136" xfId="3" applyFont="1" applyBorder="1" applyAlignment="1">
      <alignment horizontal="justify" vertical="center" wrapText="1"/>
    </xf>
    <xf numFmtId="0" fontId="27" fillId="2" borderId="0" xfId="0" applyFont="1" applyFill="1" applyAlignment="1" applyProtection="1">
      <alignment horizontal="left" vertical="center" wrapText="1"/>
      <protection locked="0"/>
    </xf>
    <xf numFmtId="0" fontId="28" fillId="3" borderId="16" xfId="3" applyFont="1" applyFill="1" applyBorder="1" applyAlignment="1">
      <alignment horizontal="center" vertical="center" wrapText="1"/>
    </xf>
    <xf numFmtId="0" fontId="28" fillId="3" borderId="160" xfId="3" applyFont="1" applyFill="1" applyBorder="1" applyAlignment="1">
      <alignment horizontal="center" vertical="center" wrapText="1"/>
    </xf>
    <xf numFmtId="0" fontId="28" fillId="3" borderId="71" xfId="3" applyFont="1" applyFill="1" applyBorder="1" applyAlignment="1">
      <alignment horizontal="center" vertical="center" wrapText="1"/>
    </xf>
    <xf numFmtId="0" fontId="28" fillId="3" borderId="72" xfId="3" applyFont="1" applyFill="1" applyBorder="1" applyAlignment="1">
      <alignment horizontal="center" vertical="center" wrapText="1"/>
    </xf>
    <xf numFmtId="0" fontId="28" fillId="3" borderId="73" xfId="3" applyFont="1" applyFill="1" applyBorder="1" applyAlignment="1">
      <alignment horizontal="center" vertical="center" wrapText="1"/>
    </xf>
    <xf numFmtId="0" fontId="28" fillId="3" borderId="22" xfId="3" applyFont="1" applyFill="1" applyBorder="1" applyAlignment="1">
      <alignment horizontal="center" vertical="center" wrapText="1"/>
    </xf>
    <xf numFmtId="0" fontId="28" fillId="3" borderId="18" xfId="3" applyFont="1" applyFill="1" applyBorder="1" applyAlignment="1">
      <alignment horizontal="center" vertical="center" wrapText="1"/>
    </xf>
    <xf numFmtId="0" fontId="28" fillId="3" borderId="20" xfId="3" applyFont="1" applyFill="1" applyBorder="1" applyAlignment="1">
      <alignment horizontal="center" vertical="center" wrapText="1"/>
    </xf>
    <xf numFmtId="49" fontId="66" fillId="2" borderId="50" xfId="0" applyNumberFormat="1" applyFont="1" applyFill="1" applyBorder="1" applyAlignment="1">
      <alignment horizontal="left" vertical="center" wrapText="1"/>
    </xf>
    <xf numFmtId="49" fontId="66" fillId="2" borderId="48" xfId="0" applyNumberFormat="1" applyFont="1" applyFill="1" applyBorder="1" applyAlignment="1">
      <alignment horizontal="left" vertical="center" wrapText="1"/>
    </xf>
    <xf numFmtId="0" fontId="64" fillId="3" borderId="91" xfId="0" applyFont="1" applyFill="1" applyBorder="1" applyAlignment="1">
      <alignment horizontal="center" vertical="center"/>
    </xf>
    <xf numFmtId="0" fontId="64" fillId="3" borderId="92" xfId="0" applyFont="1" applyFill="1" applyBorder="1" applyAlignment="1">
      <alignment horizontal="center" vertical="center"/>
    </xf>
    <xf numFmtId="0" fontId="64" fillId="3" borderId="93" xfId="0" applyFont="1" applyFill="1" applyBorder="1" applyAlignment="1">
      <alignment horizontal="center" vertical="center"/>
    </xf>
    <xf numFmtId="49" fontId="66" fillId="2" borderId="49" xfId="0" applyNumberFormat="1" applyFont="1" applyFill="1" applyBorder="1" applyAlignment="1">
      <alignment horizontal="left" vertical="center" wrapText="1"/>
    </xf>
    <xf numFmtId="49" fontId="66" fillId="2" borderId="47" xfId="0" applyNumberFormat="1" applyFont="1" applyFill="1" applyBorder="1" applyAlignment="1">
      <alignment horizontal="left" vertical="center" wrapText="1"/>
    </xf>
    <xf numFmtId="49" fontId="67" fillId="2" borderId="46" xfId="0" applyNumberFormat="1" applyFont="1" applyFill="1" applyBorder="1" applyAlignment="1" applyProtection="1">
      <alignment horizontal="left" vertical="center" wrapText="1"/>
      <protection locked="0"/>
    </xf>
    <xf numFmtId="49" fontId="67" fillId="2" borderId="143" xfId="0" applyNumberFormat="1" applyFont="1" applyFill="1" applyBorder="1" applyAlignment="1" applyProtection="1">
      <alignment horizontal="left" vertical="center" wrapText="1"/>
      <protection locked="0"/>
    </xf>
    <xf numFmtId="49" fontId="67" fillId="2" borderId="144" xfId="0" applyNumberFormat="1" applyFont="1" applyFill="1" applyBorder="1" applyAlignment="1" applyProtection="1">
      <alignment horizontal="left" vertical="center" wrapText="1"/>
      <protection locked="0"/>
    </xf>
    <xf numFmtId="49" fontId="67" fillId="2" borderId="146" xfId="0" applyNumberFormat="1" applyFont="1" applyFill="1" applyBorder="1" applyAlignment="1" applyProtection="1">
      <alignment horizontal="left" vertical="center" wrapText="1"/>
      <protection locked="0"/>
    </xf>
    <xf numFmtId="49" fontId="67" fillId="2" borderId="147" xfId="0" applyNumberFormat="1" applyFont="1" applyFill="1" applyBorder="1" applyAlignment="1" applyProtection="1">
      <alignment horizontal="left" vertical="center" wrapText="1"/>
      <protection locked="0"/>
    </xf>
    <xf numFmtId="49" fontId="67" fillId="2" borderId="148"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center" vertical="center"/>
      <protection locked="0"/>
    </xf>
    <xf numFmtId="0" fontId="58" fillId="2" borderId="1" xfId="0" applyFont="1" applyFill="1" applyBorder="1" applyAlignment="1" applyProtection="1">
      <alignment horizontal="center" vertical="center"/>
      <protection locked="0"/>
    </xf>
    <xf numFmtId="0" fontId="55" fillId="3" borderId="2" xfId="0" applyFont="1" applyFill="1" applyBorder="1" applyAlignment="1">
      <alignment horizontal="center" vertical="center" wrapText="1"/>
    </xf>
    <xf numFmtId="0" fontId="55" fillId="3" borderId="3" xfId="0" applyFont="1" applyFill="1" applyBorder="1" applyAlignment="1">
      <alignment horizontal="center" vertical="center" wrapText="1"/>
    </xf>
    <xf numFmtId="0" fontId="60" fillId="3" borderId="91" xfId="0" applyFont="1" applyFill="1" applyBorder="1" applyAlignment="1">
      <alignment horizontal="center" vertical="center" wrapText="1"/>
    </xf>
    <xf numFmtId="0" fontId="60" fillId="3" borderId="92" xfId="0" applyFont="1" applyFill="1" applyBorder="1" applyAlignment="1">
      <alignment horizontal="center" vertical="center" wrapText="1"/>
    </xf>
    <xf numFmtId="0" fontId="60" fillId="3" borderId="93" xfId="0" applyFont="1" applyFill="1" applyBorder="1" applyAlignment="1">
      <alignment horizontal="center" vertical="center" wrapText="1"/>
    </xf>
  </cellXfs>
  <cellStyles count="9">
    <cellStyle name="Hipervínculo" xfId="2" builtinId="8"/>
    <cellStyle name="Millares [0]" xfId="7" builtinId="6"/>
    <cellStyle name="Millares [0] 2" xfId="8" xr:uid="{00000000-0005-0000-0000-000002000000}"/>
    <cellStyle name="Normal" xfId="0" builtinId="0"/>
    <cellStyle name="Normal - Style1 2" xfId="4" xr:uid="{00000000-0005-0000-0000-000004000000}"/>
    <cellStyle name="Normal 2" xfId="3" xr:uid="{00000000-0005-0000-0000-000005000000}"/>
    <cellStyle name="Normal 2 2" xfId="5" xr:uid="{00000000-0005-0000-0000-000006000000}"/>
    <cellStyle name="Porcentaje" xfId="6" builtinId="5"/>
    <cellStyle name="table_head1" xfId="1" xr:uid="{00000000-0005-0000-0000-000008000000}"/>
  </cellStyles>
  <dxfs count="28">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s>
  <tableStyles count="0" defaultTableStyle="TableStyleMedium9" defaultPivotStyle="PivotStyleLight16"/>
  <colors>
    <mruColors>
      <color rgb="FFF7C435"/>
      <color rgb="FF83A343"/>
      <color rgb="FFFF9900"/>
      <color rgb="FFFFCC00"/>
      <color rgb="FF2E3917"/>
      <color rgb="FF262F13"/>
      <color rgb="FFF9D367"/>
      <color rgb="FF0035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1326696</xdr:colOff>
      <xdr:row>4</xdr:row>
      <xdr:rowOff>80597</xdr:rowOff>
    </xdr:from>
    <xdr:to>
      <xdr:col>7</xdr:col>
      <xdr:colOff>1669514</xdr:colOff>
      <xdr:row>15</xdr:row>
      <xdr:rowOff>180510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422696" y="203061"/>
          <a:ext cx="4241264" cy="235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1685925</xdr:colOff>
      <xdr:row>0</xdr:row>
      <xdr:rowOff>0</xdr:rowOff>
    </xdr:from>
    <xdr:to>
      <xdr:col>7</xdr:col>
      <xdr:colOff>2377271</xdr:colOff>
      <xdr:row>7</xdr:row>
      <xdr:rowOff>128941</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7534275" y="0"/>
          <a:ext cx="3958421" cy="2186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781050</xdr:colOff>
      <xdr:row>0</xdr:row>
      <xdr:rowOff>76200</xdr:rowOff>
    </xdr:from>
    <xdr:to>
      <xdr:col>7</xdr:col>
      <xdr:colOff>1472395</xdr:colOff>
      <xdr:row>13</xdr:row>
      <xdr:rowOff>186091</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6629400" y="76200"/>
          <a:ext cx="3958421" cy="21863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640773</xdr:colOff>
      <xdr:row>0</xdr:row>
      <xdr:rowOff>43296</xdr:rowOff>
    </xdr:from>
    <xdr:to>
      <xdr:col>7</xdr:col>
      <xdr:colOff>172354</xdr:colOff>
      <xdr:row>9</xdr:row>
      <xdr:rowOff>331373</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5870864" y="43296"/>
          <a:ext cx="3957459" cy="235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2714626</xdr:colOff>
      <xdr:row>0</xdr:row>
      <xdr:rowOff>19050</xdr:rowOff>
    </xdr:from>
    <xdr:to>
      <xdr:col>7</xdr:col>
      <xdr:colOff>405087</xdr:colOff>
      <xdr:row>12</xdr:row>
      <xdr:rowOff>1611</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b="10057"/>
        <a:stretch/>
      </xdr:blipFill>
      <xdr:spPr>
        <a:xfrm>
          <a:off x="5724526" y="19050"/>
          <a:ext cx="4233684" cy="20685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1518103</xdr:colOff>
      <xdr:row>14</xdr:row>
      <xdr:rowOff>34633</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612571" y="1726100"/>
          <a:ext cx="4395107" cy="24042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iluis-my.sharepoint.com/Users/usuario/OneDrive%20-%20Universidad%20Industrial%20de%20Santander/Escritorio/Inf.%20Consolidado%20I%20Se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56"/>
  <sheetViews>
    <sheetView showGridLines="0" topLeftCell="A25" zoomScale="130" zoomScaleNormal="130" workbookViewId="0">
      <selection activeCell="B35" sqref="B35:I35"/>
    </sheetView>
  </sheetViews>
  <sheetFormatPr baseColWidth="10" defaultColWidth="0" defaultRowHeight="0" customHeight="1" zeroHeight="1"/>
  <cols>
    <col min="1" max="1" width="3.85546875" style="1" customWidth="1"/>
    <col min="2" max="2" width="15.28515625" style="1" customWidth="1"/>
    <col min="3" max="3" width="17.28515625" style="1" customWidth="1"/>
    <col min="4" max="4" width="28.5703125" style="1" customWidth="1"/>
    <col min="5" max="5" width="12.85546875" style="1" customWidth="1"/>
    <col min="6" max="6" width="47.140625" style="1" customWidth="1"/>
    <col min="7" max="7" width="21.42578125" style="1" customWidth="1"/>
    <col min="8" max="8" width="6.5703125" style="1" customWidth="1"/>
    <col min="9" max="9" width="2.5703125" style="1" customWidth="1"/>
    <col min="10" max="16384" width="11.42578125" style="1" hidden="1"/>
  </cols>
  <sheetData>
    <row r="1" spans="2:8" ht="13.5" thickBot="1"/>
    <row r="2" spans="2:8" ht="73.5" customHeight="1">
      <c r="B2" s="361" t="s">
        <v>0</v>
      </c>
      <c r="C2" s="362"/>
      <c r="D2" s="362"/>
      <c r="E2" s="362"/>
      <c r="F2" s="362"/>
      <c r="G2" s="362"/>
      <c r="H2" s="363"/>
    </row>
    <row r="3" spans="2:8" ht="12.75">
      <c r="B3" s="33"/>
      <c r="H3" s="34"/>
    </row>
    <row r="4" spans="2:8" ht="12.75">
      <c r="B4" s="33"/>
      <c r="H4" s="34"/>
    </row>
    <row r="5" spans="2:8" ht="12.75">
      <c r="B5" s="35"/>
      <c r="C5" s="2"/>
      <c r="D5" s="2"/>
      <c r="E5" s="2"/>
      <c r="F5" s="2"/>
      <c r="G5" s="2"/>
      <c r="H5" s="36"/>
    </row>
    <row r="6" spans="2:8" ht="65.25" customHeight="1">
      <c r="B6" s="364" t="s">
        <v>1</v>
      </c>
      <c r="C6" s="365"/>
      <c r="D6" s="365"/>
      <c r="E6" s="365"/>
      <c r="F6" s="365"/>
      <c r="G6" s="365"/>
      <c r="H6" s="366"/>
    </row>
    <row r="7" spans="2:8" ht="74.25" customHeight="1">
      <c r="B7" s="364"/>
      <c r="C7" s="365"/>
      <c r="D7" s="365"/>
      <c r="E7" s="365"/>
      <c r="F7" s="365"/>
      <c r="G7" s="365"/>
      <c r="H7" s="366"/>
    </row>
    <row r="8" spans="2:8" ht="21.75" customHeight="1">
      <c r="B8" s="367" t="s">
        <v>2</v>
      </c>
      <c r="C8" s="368"/>
      <c r="D8" s="368"/>
      <c r="E8" s="368"/>
      <c r="F8" s="368"/>
      <c r="G8" s="368"/>
      <c r="H8" s="369"/>
    </row>
    <row r="9" spans="2:8" ht="42" customHeight="1">
      <c r="B9" s="343" t="s">
        <v>3</v>
      </c>
      <c r="C9" s="344"/>
      <c r="D9" s="344"/>
      <c r="E9" s="344"/>
      <c r="F9" s="344"/>
      <c r="G9" s="344"/>
      <c r="H9" s="345"/>
    </row>
    <row r="10" spans="2:8" ht="12.75">
      <c r="B10" s="343"/>
      <c r="C10" s="344"/>
      <c r="D10" s="344"/>
      <c r="E10" s="344"/>
      <c r="F10" s="344"/>
      <c r="G10" s="344"/>
      <c r="H10" s="345"/>
    </row>
    <row r="11" spans="2:8" ht="12.75" customHeight="1" thickBot="1">
      <c r="B11" s="33"/>
      <c r="D11" s="3"/>
      <c r="E11" s="4"/>
      <c r="F11" s="4"/>
      <c r="G11" s="5"/>
      <c r="H11" s="34"/>
    </row>
    <row r="12" spans="2:8" ht="21" customHeight="1" thickTop="1">
      <c r="B12" s="33"/>
      <c r="C12" s="358" t="s">
        <v>4</v>
      </c>
      <c r="D12" s="359"/>
      <c r="E12" s="346" t="s">
        <v>5</v>
      </c>
      <c r="F12" s="347"/>
      <c r="H12" s="34"/>
    </row>
    <row r="13" spans="2:8" ht="37.5" customHeight="1">
      <c r="B13" s="33"/>
      <c r="C13" s="356" t="s">
        <v>6</v>
      </c>
      <c r="D13" s="357"/>
      <c r="E13" s="348" t="s">
        <v>7</v>
      </c>
      <c r="F13" s="349"/>
      <c r="H13" s="34"/>
    </row>
    <row r="14" spans="2:8" ht="39.75" customHeight="1">
      <c r="B14" s="33"/>
      <c r="C14" s="354" t="s">
        <v>8</v>
      </c>
      <c r="D14" s="355"/>
      <c r="E14" s="352" t="s">
        <v>9</v>
      </c>
      <c r="F14" s="353"/>
      <c r="H14" s="34"/>
    </row>
    <row r="15" spans="2:8" ht="200.25" customHeight="1">
      <c r="B15" s="33"/>
      <c r="C15" s="354" t="s">
        <v>10</v>
      </c>
      <c r="D15" s="355"/>
      <c r="E15" s="352" t="s">
        <v>11</v>
      </c>
      <c r="F15" s="353"/>
      <c r="H15" s="34"/>
    </row>
    <row r="16" spans="2:8" ht="27.75" customHeight="1">
      <c r="B16" s="33"/>
      <c r="C16" s="372" t="s">
        <v>12</v>
      </c>
      <c r="D16" s="12" t="s">
        <v>13</v>
      </c>
      <c r="E16" s="352" t="s">
        <v>14</v>
      </c>
      <c r="F16" s="353"/>
      <c r="H16" s="34"/>
    </row>
    <row r="17" spans="2:8" ht="54" customHeight="1">
      <c r="B17" s="33"/>
      <c r="C17" s="373"/>
      <c r="D17" s="23" t="s">
        <v>15</v>
      </c>
      <c r="E17" s="335" t="s">
        <v>16</v>
      </c>
      <c r="F17" s="336"/>
      <c r="H17" s="34"/>
    </row>
    <row r="18" spans="2:8" ht="98.25" customHeight="1">
      <c r="B18" s="33"/>
      <c r="C18" s="373"/>
      <c r="D18" s="23" t="s">
        <v>17</v>
      </c>
      <c r="E18" s="335" t="s">
        <v>18</v>
      </c>
      <c r="F18" s="336"/>
      <c r="H18" s="34"/>
    </row>
    <row r="19" spans="2:8" ht="101.25" customHeight="1" thickBot="1">
      <c r="B19" s="33"/>
      <c r="C19" s="374" t="s">
        <v>19</v>
      </c>
      <c r="D19" s="375"/>
      <c r="E19" s="350" t="s">
        <v>20</v>
      </c>
      <c r="F19" s="351"/>
      <c r="H19" s="34"/>
    </row>
    <row r="20" spans="2:8" ht="19.5" customHeight="1" thickTop="1">
      <c r="B20" s="33"/>
      <c r="C20" s="6"/>
      <c r="D20" s="6"/>
      <c r="E20" s="7"/>
      <c r="F20" s="7"/>
      <c r="H20" s="34"/>
    </row>
    <row r="21" spans="2:8" ht="37.5" customHeight="1">
      <c r="B21" s="337" t="s">
        <v>21</v>
      </c>
      <c r="C21" s="338"/>
      <c r="D21" s="338"/>
      <c r="E21" s="338"/>
      <c r="F21" s="338"/>
      <c r="G21" s="338"/>
      <c r="H21" s="339"/>
    </row>
    <row r="22" spans="2:8" ht="27.75" customHeight="1">
      <c r="B22" s="33"/>
      <c r="H22" s="34"/>
    </row>
    <row r="23" spans="2:8" ht="27.75" customHeight="1">
      <c r="B23" s="33"/>
      <c r="C23" s="92" t="s">
        <v>22</v>
      </c>
      <c r="D23" s="340" t="s">
        <v>5</v>
      </c>
      <c r="E23" s="340"/>
      <c r="F23" s="340" t="s">
        <v>23</v>
      </c>
      <c r="G23" s="340"/>
      <c r="H23" s="34"/>
    </row>
    <row r="24" spans="2:8" ht="59.25" customHeight="1">
      <c r="B24" s="33"/>
      <c r="C24" s="55" t="s">
        <v>24</v>
      </c>
      <c r="D24" s="341" t="s">
        <v>25</v>
      </c>
      <c r="E24" s="341"/>
      <c r="F24" s="341" t="s">
        <v>26</v>
      </c>
      <c r="G24" s="341"/>
      <c r="H24" s="34"/>
    </row>
    <row r="25" spans="2:8" ht="53.25" customHeight="1">
      <c r="B25" s="33"/>
      <c r="C25" s="56" t="s">
        <v>27</v>
      </c>
      <c r="D25" s="341" t="s">
        <v>28</v>
      </c>
      <c r="E25" s="341"/>
      <c r="F25" s="341" t="s">
        <v>29</v>
      </c>
      <c r="G25" s="341"/>
      <c r="H25" s="34"/>
    </row>
    <row r="26" spans="2:8" ht="62.25" customHeight="1">
      <c r="B26" s="33"/>
      <c r="C26" s="57" t="s">
        <v>30</v>
      </c>
      <c r="D26" s="341" t="s">
        <v>31</v>
      </c>
      <c r="E26" s="341"/>
      <c r="F26" s="341" t="s">
        <v>32</v>
      </c>
      <c r="G26" s="341"/>
      <c r="H26" s="34"/>
    </row>
    <row r="27" spans="2:8" ht="70.5" customHeight="1">
      <c r="B27" s="33"/>
      <c r="C27" s="58" t="s">
        <v>33</v>
      </c>
      <c r="D27" s="341" t="s">
        <v>34</v>
      </c>
      <c r="E27" s="341"/>
      <c r="F27" s="341" t="s">
        <v>35</v>
      </c>
      <c r="G27" s="341"/>
      <c r="H27" s="34"/>
    </row>
    <row r="28" spans="2:8" ht="11.25" customHeight="1">
      <c r="B28" s="37"/>
      <c r="C28" s="32"/>
      <c r="D28" s="32"/>
      <c r="E28" s="32"/>
      <c r="F28" s="32"/>
      <c r="G28" s="32"/>
      <c r="H28" s="38"/>
    </row>
    <row r="29" spans="2:8" ht="14.25" customHeight="1">
      <c r="B29" s="90"/>
      <c r="C29" s="370"/>
      <c r="D29" s="370"/>
      <c r="E29" s="371"/>
      <c r="F29" s="371"/>
      <c r="G29" s="371"/>
      <c r="H29" s="91"/>
    </row>
    <row r="30" spans="2:8" ht="27.75" customHeight="1">
      <c r="B30" s="337" t="s">
        <v>36</v>
      </c>
      <c r="C30" s="338"/>
      <c r="D30" s="338"/>
      <c r="E30" s="338"/>
      <c r="F30" s="338"/>
      <c r="G30" s="338"/>
      <c r="H30" s="339"/>
    </row>
    <row r="31" spans="2:8" ht="13.5">
      <c r="B31" s="33"/>
      <c r="C31" s="8"/>
      <c r="D31" s="8"/>
      <c r="E31" s="360"/>
      <c r="F31" s="360"/>
      <c r="H31" s="34"/>
    </row>
    <row r="32" spans="2:8" ht="16.5">
      <c r="B32" s="332" t="s">
        <v>37</v>
      </c>
      <c r="C32" s="333"/>
      <c r="D32" s="333"/>
      <c r="E32" s="333"/>
      <c r="F32" s="333"/>
      <c r="G32" s="333"/>
      <c r="H32" s="334"/>
    </row>
    <row r="33" spans="2:9" ht="13.5" thickBot="1">
      <c r="B33" s="39"/>
      <c r="C33" s="40"/>
      <c r="D33" s="40"/>
      <c r="E33" s="40"/>
      <c r="F33" s="40"/>
      <c r="G33" s="40"/>
      <c r="H33" s="41"/>
    </row>
    <row r="34" spans="2:9" ht="12.75"/>
    <row r="35" spans="2:9" ht="29.25" customHeight="1">
      <c r="B35" s="342" t="s">
        <v>867</v>
      </c>
      <c r="C35" s="342"/>
      <c r="D35" s="342"/>
      <c r="E35" s="342"/>
      <c r="F35" s="342"/>
      <c r="G35" s="342"/>
      <c r="H35" s="342"/>
      <c r="I35" s="342"/>
    </row>
    <row r="36" spans="2:9" ht="26.25" customHeight="1"/>
    <row r="37" spans="2:9" ht="43.5" customHeight="1"/>
    <row r="38" spans="2:9" ht="53.25" customHeight="1"/>
    <row r="39" spans="2:9" ht="12.75"/>
    <row r="40" spans="2:9" ht="12.75"/>
    <row r="41" spans="2:9" ht="12.75"/>
    <row r="42" spans="2:9" ht="12.75"/>
    <row r="43" spans="2:9" ht="12.75"/>
    <row r="44" spans="2:9" ht="12.75"/>
    <row r="45" spans="2:9" ht="12.75" customHeight="1"/>
    <row r="46" spans="2:9" ht="12.75" customHeight="1"/>
    <row r="47" spans="2:9" ht="12.75" customHeight="1"/>
    <row r="48" spans="2:9" ht="12.75" customHeight="1"/>
    <row r="49" ht="12.75" customHeight="1"/>
    <row r="50" ht="12.75" customHeight="1"/>
    <row r="51" ht="12.75" customHeight="1"/>
    <row r="52" ht="12.75" customHeight="1"/>
    <row r="53" ht="12.75" customHeight="1"/>
    <row r="54" ht="12.75" customHeight="1"/>
    <row r="55" ht="12.75" customHeight="1"/>
    <row r="56" ht="12.75" customHeight="1"/>
  </sheetData>
  <sheetProtection selectLockedCells="1" selectUnlockedCells="1"/>
  <mergeCells count="35">
    <mergeCell ref="B2:H2"/>
    <mergeCell ref="B6:H7"/>
    <mergeCell ref="B8:H8"/>
    <mergeCell ref="C29:D29"/>
    <mergeCell ref="E29:G29"/>
    <mergeCell ref="C15:D15"/>
    <mergeCell ref="C16:C18"/>
    <mergeCell ref="C19:D19"/>
    <mergeCell ref="E16:F16"/>
    <mergeCell ref="D24:E24"/>
    <mergeCell ref="D23:E23"/>
    <mergeCell ref="F26:G26"/>
    <mergeCell ref="F27:G27"/>
    <mergeCell ref="B35:I35"/>
    <mergeCell ref="B9:H10"/>
    <mergeCell ref="E12:F12"/>
    <mergeCell ref="E13:F13"/>
    <mergeCell ref="E19:F19"/>
    <mergeCell ref="E15:F15"/>
    <mergeCell ref="C14:D14"/>
    <mergeCell ref="C13:D13"/>
    <mergeCell ref="C12:D12"/>
    <mergeCell ref="E14:F14"/>
    <mergeCell ref="E17:F17"/>
    <mergeCell ref="F25:G25"/>
    <mergeCell ref="D25:E25"/>
    <mergeCell ref="E31:F31"/>
    <mergeCell ref="D26:E26"/>
    <mergeCell ref="B30:H30"/>
    <mergeCell ref="B32:H32"/>
    <mergeCell ref="E18:F18"/>
    <mergeCell ref="B21:H21"/>
    <mergeCell ref="F23:G23"/>
    <mergeCell ref="D27:E27"/>
    <mergeCell ref="F24:G2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S82"/>
  <sheetViews>
    <sheetView workbookViewId="0"/>
  </sheetViews>
  <sheetFormatPr baseColWidth="10" defaultColWidth="11.42578125" defaultRowHeight="12.75"/>
  <cols>
    <col min="2" max="4" width="22.28515625" customWidth="1"/>
    <col min="5" max="5" width="34.5703125" customWidth="1"/>
    <col min="6" max="6" width="36.42578125" bestFit="1" customWidth="1"/>
    <col min="8" max="8" width="12.28515625" bestFit="1" customWidth="1"/>
    <col min="9" max="9" width="12.7109375" customWidth="1"/>
    <col min="13" max="14" width="17.5703125" customWidth="1"/>
  </cols>
  <sheetData>
    <row r="1" spans="1:19" ht="81.75" customHeight="1">
      <c r="A1" s="93" t="s">
        <v>111</v>
      </c>
      <c r="B1" s="93" t="s">
        <v>589</v>
      </c>
      <c r="C1" s="94" t="s">
        <v>590</v>
      </c>
      <c r="D1" s="94" t="s">
        <v>591</v>
      </c>
      <c r="E1" s="94" t="s">
        <v>592</v>
      </c>
      <c r="F1" s="93" t="s">
        <v>150</v>
      </c>
      <c r="G1" s="95" t="s">
        <v>593</v>
      </c>
      <c r="H1" s="95" t="s">
        <v>594</v>
      </c>
      <c r="I1" s="95" t="s">
        <v>595</v>
      </c>
      <c r="J1" s="95" t="s">
        <v>80</v>
      </c>
      <c r="K1" s="95" t="s">
        <v>89</v>
      </c>
      <c r="L1" s="95" t="s">
        <v>596</v>
      </c>
      <c r="M1" s="42" t="s">
        <v>597</v>
      </c>
      <c r="N1" s="42"/>
    </row>
    <row r="2" spans="1:19" ht="12.75" customHeight="1">
      <c r="A2" s="87" t="s">
        <v>598</v>
      </c>
      <c r="B2" s="87" t="str">
        <f>+LEFT(A2,1)</f>
        <v>1</v>
      </c>
      <c r="C2" s="87" t="str">
        <f>+MID(VLOOKUP(A2,'Ambiente de Control'!$B$21:$C$235,2,0),4,LEN(VLOOKUP(A2,'Ambiente de Control'!$B$21:$C$235,2,0))-4)</f>
        <v xml:space="preserve"> Aplicación del Código de Integridad. (incluye análisis de desviaciones, convivencia laboral, temas disciplinarios internos, quejas o denuncias sobres los servidores de la entidad, u otros temas relacionados)</v>
      </c>
      <c r="D2" s="87" t="s">
        <v>599</v>
      </c>
      <c r="E2" s="87" t="str">
        <f>+VLOOKUP(A2,'Ambiente de Control'!$B$21:$D$235,3,0)</f>
        <v>Dimensión Talento Humano
Política Integridad</v>
      </c>
      <c r="F2" s="87" t="str">
        <f>+VLOOKUP(A2,'Ambiente de Control'!$B$21:$K$235,10,0)</f>
        <v>Deficiencia de control (diseño o ejecución)</v>
      </c>
      <c r="G2" s="87">
        <f>+VLOOKUP(A2,'Ambiente de Control'!$B$21:$O$39,13)</f>
        <v>20.045870000000001</v>
      </c>
      <c r="H2" s="89">
        <f>+_xlfn.RANK.EQ(G2,$G$2:$G$82,1)</f>
        <v>1</v>
      </c>
      <c r="I2" s="87" t="str">
        <f t="shared" ref="I2:I33" si="0">+IF(F2=$F$2,$P$4,IF(F2=$F$3,$P$2,$P$3))</f>
        <v>Cuando en el análisis de los requerimientos en los diferenes componentes del MECI se cuente con aspectos evaluados en nivel 1 (presente) y 1 (funcionando); 2 (presente) y 1 (funcionando).</v>
      </c>
      <c r="J2" s="87" t="s">
        <v>600</v>
      </c>
      <c r="K2" s="87">
        <f>+IF(ISBLANK(VLOOKUP(A2,'Ambiente de Control'!$B$24:$F$235,5,0)),"",VLOOKUP(A2,'Ambiente de Control'!$B$24:$F$235,5,0))</f>
        <v>3</v>
      </c>
      <c r="L2" s="87">
        <f>+IF(ISBLANK(VLOOKUP(A2,'Ambiente de Control'!$B$24:$K$235,9,0)),"",VLOOKUP(A2,'Ambiente de Control'!$B$24:$K$235,9,0))</f>
        <v>2</v>
      </c>
      <c r="M2" s="87">
        <f>+IF(OR(AND(K2=1,L2=1),AND(ISBLANK(K2),ISBLANK(L2)),K2="",L2=""),0,IF(OR(AND(K2=1,L2=2),AND(K2=1,L2=3)),0.25,IF(OR(AND(K2=2,L2=2),AND(K2=3,L2=1),AND(K2=3,L2=2),AND(K2=2,L2=1)),0.5,IF(AND(K2=2,L2=3),0.75,1))))</f>
        <v>0.5</v>
      </c>
      <c r="N2" s="87">
        <f>+AVERAGEIF($D$2:$D$82,D2,$M$2:$M$82)</f>
        <v>0.9375</v>
      </c>
      <c r="O2" s="85" t="s">
        <v>27</v>
      </c>
      <c r="P2" s="86" t="s">
        <v>601</v>
      </c>
      <c r="Q2" s="86"/>
      <c r="R2" s="87"/>
      <c r="S2" s="87"/>
    </row>
    <row r="3" spans="1:19" ht="12.75" customHeight="1">
      <c r="A3" s="87" t="s">
        <v>602</v>
      </c>
      <c r="B3" s="87" t="str">
        <f t="shared" ref="B3:B42" si="1">+LEFT(A3,1)</f>
        <v>1</v>
      </c>
      <c r="C3" s="87" t="str">
        <f>+MID(VLOOKUP(A3,'Ambiente de Control'!$B$21:$C$235,2,0),4,LEN(VLOOKUP(A3,'Ambiente de Control'!$B$21:$C$235,2,0))-4)</f>
        <v xml:space="preserve"> Mecanismos para el manejo de conflictos de interés.</v>
      </c>
      <c r="D3" s="87" t="s">
        <v>599</v>
      </c>
      <c r="E3" s="87" t="str">
        <f>+VLOOKUP(A3,'Ambiente de Control'!$B$21:$D$235,3,0)</f>
        <v>Dimensión Talento Humano
Política Integridad</v>
      </c>
      <c r="F3" s="87" t="str">
        <f>+VLOOKUP(A3,'Ambiente de Control'!$B$21:$K$235,10,0)</f>
        <v>Mantenimiento del control</v>
      </c>
      <c r="G3" s="87">
        <f>+VLOOKUP(A3,'Ambiente de Control'!$B$21:$O$235,13,0)</f>
        <v>60.055689999999998</v>
      </c>
      <c r="H3" s="89">
        <f t="shared" ref="H3:H70" si="2">+_xlfn.RANK.EQ(G3,$G$2:$G$82,1)</f>
        <v>4</v>
      </c>
      <c r="I3" s="87" t="str">
        <f t="shared" si="0"/>
        <v>Cuando en el análisis de los requerimientos en los diferenes componentes del MECI se cuente con aspectos evaluados en nivel 2 (presente) y 3 (funcionando).</v>
      </c>
      <c r="J3" s="87" t="s">
        <v>600</v>
      </c>
      <c r="K3" s="87">
        <f>+IF(ISBLANK(VLOOKUP(A3,'Ambiente de Control'!$B$24:$F$235,5,0)),"",VLOOKUP(A3,'Ambiente de Control'!$B$24:$F$235,5,0))</f>
        <v>3</v>
      </c>
      <c r="L3" s="87">
        <f>+IF(ISBLANK(VLOOKUP(A3,'Ambiente de Control'!$B$24:$K$235,9,0)),"",VLOOKUP(A3,'Ambiente de Control'!$B$24:$K$235,9,0))</f>
        <v>3</v>
      </c>
      <c r="M3" s="87">
        <f>+IF(OR(AND(K3=1,L3=1),AND(ISBLANK(K3),ISBLANK(L3)),K3="",L3=""),0,IF(OR(AND(K3=1,L3=2),AND(K3=1,L3=3)),0.25,IF(OR(AND(K3=2,L3=2),AND(K3=3,L3=1),AND(K3=3,L3=2),AND(K3=2,L3=1)),0.5,IF(AND(K3=2,L3=3),0.75,1))))</f>
        <v>1</v>
      </c>
      <c r="N3" s="87">
        <f t="shared" ref="N3:N70" si="3">+AVERAGEIF($D$2:$D$82,D3,$M$2:$M$82)</f>
        <v>0.9375</v>
      </c>
      <c r="O3" s="88" t="s">
        <v>30</v>
      </c>
      <c r="P3" s="86" t="s">
        <v>603</v>
      </c>
      <c r="Q3" s="86"/>
      <c r="R3" s="87" t="s">
        <v>604</v>
      </c>
      <c r="S3" s="87"/>
    </row>
    <row r="4" spans="1:19" ht="16.5" customHeight="1">
      <c r="A4" s="87" t="s">
        <v>605</v>
      </c>
      <c r="B4" s="87" t="str">
        <f t="shared" si="1"/>
        <v>1</v>
      </c>
      <c r="C4" s="87" t="str">
        <f>+MID(VLOOKUP(A4,'Ambiente de Control'!$B$21:$C$235,2,0),4,LEN(VLOOKUP(A4,'Ambiente de Control'!$B$21:$C$235,2,0))-4)</f>
        <v xml:space="preserve"> Mecanismos frente a la detección y prevención del uso inadecuado de información privilegiada u otras situaciones que puedan implicar riesgos para la entidad</v>
      </c>
      <c r="D4" s="87" t="s">
        <v>599</v>
      </c>
      <c r="E4" s="87" t="str">
        <f>+VLOOKUP(A4,'Ambiente de Control'!$B$21:$D$235,3,0)</f>
        <v>Dimensión Información y Comunicación
Política Transparencia y Acceso a la Información Pública
Política Gestión Documental</v>
      </c>
      <c r="F4" s="87" t="str">
        <f>+VLOOKUP(A4,'Ambiente de Control'!$B$21:$K$235,10,0)</f>
        <v>Mantenimiento del control</v>
      </c>
      <c r="G4" s="87">
        <f>+VLOOKUP(A4,'Ambiente de Control'!$B$21:$O$235,13,0)</f>
        <v>60.066896</v>
      </c>
      <c r="H4" s="89">
        <f t="shared" si="2"/>
        <v>5</v>
      </c>
      <c r="I4" s="87" t="str">
        <f t="shared" si="0"/>
        <v>Cuando en el análisis de los requerimientos en los diferenes componentes del MECI se cuente con aspectos evaluados en nivel 2 (presente) y 3 (funcionando).</v>
      </c>
      <c r="J4" s="87" t="s">
        <v>600</v>
      </c>
      <c r="K4" s="87">
        <f>+IF(ISBLANK(VLOOKUP(A4,'Ambiente de Control'!$B$24:$F$235,5,0)),"",VLOOKUP(A4,'Ambiente de Control'!$B$24:$F$235,5,0))</f>
        <v>3</v>
      </c>
      <c r="L4" s="87">
        <f>+IF(ISBLANK(VLOOKUP(A4,'Ambiente de Control'!$B$24:$K$235,9,0)),"",VLOOKUP(A4,'Ambiente de Control'!$B$24:$K$235,9,0))</f>
        <v>3</v>
      </c>
      <c r="M4" s="87">
        <f t="shared" ref="M4:M67" si="4">+IF(OR(AND(K4=1,L4=1),AND(ISBLANK(K4),ISBLANK(L4)),K4="",L4=""),0,IF(OR(AND(K4=1,L4=2),AND(K4=1,L4=3)),0.25,IF(OR(AND(K4=2,L4=2),AND(K4=3,L4=1),AND(K4=3,L4=2),AND(K4=2,L4=1)),0.5,IF(AND(K4=2,L4=3),0.75,1))))</f>
        <v>1</v>
      </c>
      <c r="N4" s="87">
        <f t="shared" si="3"/>
        <v>0.9375</v>
      </c>
      <c r="O4" s="88" t="s">
        <v>33</v>
      </c>
      <c r="P4" s="86" t="s">
        <v>606</v>
      </c>
      <c r="Q4" s="86"/>
      <c r="R4" s="87"/>
      <c r="S4" s="87"/>
    </row>
    <row r="5" spans="1:19">
      <c r="A5" s="87" t="s">
        <v>607</v>
      </c>
      <c r="B5" s="87" t="str">
        <f t="shared" si="1"/>
        <v>1</v>
      </c>
      <c r="C5" s="87" t="str">
        <f>+MID(VLOOKUP(A5,'Ambiente de Control'!$B$21:$C$235,2,0),4,LEN(VLOOKUP(A5,'Ambiente de Control'!$B$21:$C$235,2,0))-4)</f>
        <v xml:space="preserve"> La evaluación de las acciones transversales de integridad, mediante el monitoreo permanente de los riesgos de corrupción.</v>
      </c>
      <c r="D5" s="87" t="s">
        <v>599</v>
      </c>
      <c r="E5" s="87" t="str">
        <f>+VLOOKUP(A5,'Ambiente de Control'!$B$21:$D$235,3,0)</f>
        <v>Dimensión Talento Humano
Política de Integridad</v>
      </c>
      <c r="F5" s="87" t="str">
        <f>+VLOOKUP(A5,'Ambiente de Control'!$B$21:$K$235,10,0)</f>
        <v>Deficiencia de control (diseño o ejecución)</v>
      </c>
      <c r="G5" s="87">
        <f>+VLOOKUP(A5,'Ambiente de Control'!$B$21:$O$235,13,0)</f>
        <v>20.06691</v>
      </c>
      <c r="H5" s="89">
        <f t="shared" si="2"/>
        <v>2</v>
      </c>
      <c r="I5" s="87" t="str">
        <f t="shared" si="0"/>
        <v>Cuando en el análisis de los requerimientos en los diferenes componentes del MECI se cuente con aspectos evaluados en nivel 1 (presente) y 1 (funcionando); 2 (presente) y 1 (funcionando).</v>
      </c>
      <c r="J5" s="87" t="s">
        <v>600</v>
      </c>
      <c r="K5" s="87">
        <f>+IF(ISBLANK(VLOOKUP(A5,'Ambiente de Control'!$B$24:$F$235,5,0)),"",VLOOKUP(A5,'Ambiente de Control'!$B$24:$F$235,5,0))</f>
        <v>3</v>
      </c>
      <c r="L5" s="87">
        <f>+IF(ISBLANK(VLOOKUP(A5,'Ambiente de Control'!$B$24:$K$235,9,0)),"",VLOOKUP(A5,'Ambiente de Control'!$B$24:$K$235,9,0))</f>
        <v>2</v>
      </c>
      <c r="M5" s="87">
        <f t="shared" si="4"/>
        <v>0.5</v>
      </c>
      <c r="N5" s="87">
        <f t="shared" si="3"/>
        <v>0.9375</v>
      </c>
      <c r="O5" s="87"/>
      <c r="P5" s="87"/>
    </row>
    <row r="6" spans="1:19">
      <c r="A6" s="87" t="s">
        <v>608</v>
      </c>
      <c r="B6" s="87" t="str">
        <f t="shared" si="1"/>
        <v>1</v>
      </c>
      <c r="C6" s="87" t="str">
        <f>+MID(VLOOKUP(A6,'Ambiente de Control'!$B$21:$C$235,2,0),4,LEN(VLOOKUP(A6,'Ambiente de Control'!$B$21:$C$235,2,0))-4)</f>
        <v xml:space="preserve"> Análisis sobre viabilidad para el establecimiento de una línea de denuncia interna sobre situaciones irregulares o posibles incumplimientos al código de integridad.
NOTA: Si la entidad ya cuenta con esta línea en funcionamiento, establezca si ha aportado para la mejora de los mapas de riesgos o bien en otros ámbitos organizacionales.</v>
      </c>
      <c r="D6" s="87" t="s">
        <v>599</v>
      </c>
      <c r="E6" s="87" t="str">
        <f>+VLOOKUP(A6,'Ambiente de Control'!$B$21:$D$235,3,0)</f>
        <v>Dimensión Direccionamiento Estratégico y Planeación
Plan Anticorrupción y de Atención al Ciudadano</v>
      </c>
      <c r="F6" s="87" t="str">
        <f>+VLOOKUP(A6,'Ambiente de Control'!$B$21:$K$235,10,0)</f>
        <v>Mantenimiento del control</v>
      </c>
      <c r="G6" s="87">
        <f>+VLOOKUP(A6,'Ambiente de Control'!$B$21:$O$235,13,0)</f>
        <v>60.073568999999999</v>
      </c>
      <c r="H6" s="89">
        <f t="shared" si="2"/>
        <v>6</v>
      </c>
      <c r="I6" s="87" t="str">
        <f t="shared" si="0"/>
        <v>Cuando en el análisis de los requerimientos en los diferenes componentes del MECI se cuente con aspectos evaluados en nivel 2 (presente) y 3 (funcionando).</v>
      </c>
      <c r="J6" s="87" t="s">
        <v>600</v>
      </c>
      <c r="K6" s="87">
        <f>+IF(ISBLANK(VLOOKUP(A6,'Ambiente de Control'!$B$24:$F$235,5,0)),"",VLOOKUP(A6,'Ambiente de Control'!$B$24:$F$235,5,0))</f>
        <v>3</v>
      </c>
      <c r="L6" s="87">
        <f>+IF(ISBLANK(VLOOKUP(A6,'Ambiente de Control'!$B$24:$K$235,9,0)),"",VLOOKUP(A6,'Ambiente de Control'!$B$24:$K$235,9,0))</f>
        <v>3</v>
      </c>
      <c r="M6" s="87">
        <f t="shared" si="4"/>
        <v>1</v>
      </c>
      <c r="N6" s="87">
        <f t="shared" si="3"/>
        <v>0.9375</v>
      </c>
      <c r="O6" s="87"/>
      <c r="P6" s="87"/>
    </row>
    <row r="7" spans="1:19">
      <c r="A7" s="87" t="s">
        <v>609</v>
      </c>
      <c r="B7" s="87" t="str">
        <f t="shared" si="1"/>
        <v>2</v>
      </c>
      <c r="C7" s="87" t="str">
        <f>+MID(VLOOKUP(A7,'Ambiente de Control'!$B$21:$C$235,2,0),4,LEN(VLOOKUP(A7,'Ambiente de Control'!$B$21:$C$235,2,0))-4)</f>
        <v xml:space="preserve"> Creación o actualización del Comité Institucional de Coordinación de Control Interno (incluye ajustes en periodicidad para reunión, articulación con el Comité Institucional de Gestión y Desempeño)</v>
      </c>
      <c r="D7" s="87" t="s">
        <v>599</v>
      </c>
      <c r="E7" s="87" t="str">
        <f>+VLOOKUP(A7,'Ambiente de Control'!$B$21:$D$235,3,0)</f>
        <v>Dimensión Control Interno
Política de Control Interno</v>
      </c>
      <c r="F7" s="87" t="str">
        <f>+VLOOKUP(A7,'Ambiente de Control'!$B$21:$K$235,10,0)</f>
        <v>Mantenimiento del control</v>
      </c>
      <c r="G7" s="87">
        <f>+VLOOKUP(A7,'Ambiente de Control'!$B$21:$O$235,13,0)</f>
        <v>60.088965299999998</v>
      </c>
      <c r="H7" s="89">
        <f t="shared" si="2"/>
        <v>7</v>
      </c>
      <c r="I7" s="87" t="str">
        <f t="shared" si="0"/>
        <v>Cuando en el análisis de los requerimientos en los diferenes componentes del MECI se cuente con aspectos evaluados en nivel 2 (presente) y 3 (funcionando).</v>
      </c>
      <c r="J7" s="87" t="s">
        <v>610</v>
      </c>
      <c r="K7" s="87">
        <f>+IF(ISBLANK(VLOOKUP(A7,'Ambiente de Control'!$B$24:$F$235,5,0)),"",VLOOKUP(A7,'Ambiente de Control'!$B$24:$F$235,5,0))</f>
        <v>3</v>
      </c>
      <c r="L7" s="87">
        <f>+IF(ISBLANK(VLOOKUP(A7,'Ambiente de Control'!$B$24:$K$235,9,0)),"",VLOOKUP(A7,'Ambiente de Control'!$B$24:$K$235,9,0))</f>
        <v>3</v>
      </c>
      <c r="M7" s="87">
        <f t="shared" si="4"/>
        <v>1</v>
      </c>
      <c r="N7" s="87">
        <f t="shared" si="3"/>
        <v>0.9375</v>
      </c>
      <c r="O7" s="87"/>
      <c r="P7" s="87"/>
    </row>
    <row r="8" spans="1:19">
      <c r="A8" s="87" t="s">
        <v>611</v>
      </c>
      <c r="B8" s="87" t="str">
        <f t="shared" si="1"/>
        <v>2</v>
      </c>
      <c r="C8" s="87" t="str">
        <f>+MID(VLOOKUP(A8,'Ambiente de Control'!$B$21:$C$235,2,0),4,LEN(VLOOKUP(A8,'Ambiente de Control'!$B$21:$C$235,2,0))-4)</f>
        <v xml:space="preserve"> Definición y documentación del Esquema de Líneas de Defens</v>
      </c>
      <c r="D8" s="87" t="s">
        <v>599</v>
      </c>
      <c r="E8" s="87" t="str">
        <f>+VLOOKUP(A8,'Ambiente de Control'!$B$21:$D$235,3,0)</f>
        <v>Dimensión Control Interno
Política de Control Interno
Líneas de defensa</v>
      </c>
      <c r="F8" s="87" t="str">
        <f>+VLOOKUP(A8,'Ambiente de Control'!$B$21:$K$235,10,0)</f>
        <v>Mantenimiento del control</v>
      </c>
      <c r="G8" s="87">
        <f>+VLOOKUP(A8,'Ambiente de Control'!$B$21:$O$235,13,0)</f>
        <v>60.098965300000003</v>
      </c>
      <c r="H8" s="89">
        <f t="shared" si="2"/>
        <v>8</v>
      </c>
      <c r="I8" s="87" t="str">
        <f t="shared" si="0"/>
        <v>Cuando en el análisis de los requerimientos en los diferenes componentes del MECI se cuente con aspectos evaluados en nivel 2 (presente) y 3 (funcionando).</v>
      </c>
      <c r="J8" s="87" t="s">
        <v>610</v>
      </c>
      <c r="K8" s="87">
        <f>+IF(ISBLANK(VLOOKUP(A8,'Ambiente de Control'!$B$24:$F$235,5,0)),"",VLOOKUP(A8,'Ambiente de Control'!$B$24:$F$235,5,0))</f>
        <v>3</v>
      </c>
      <c r="L8" s="87">
        <f>+IF(ISBLANK(VLOOKUP(A8,'Ambiente de Control'!$B$24:$K$235,9,0)),"",VLOOKUP(A8,'Ambiente de Control'!$B$24:$K$235,9,0))</f>
        <v>3</v>
      </c>
      <c r="M8" s="87">
        <f t="shared" si="4"/>
        <v>1</v>
      </c>
      <c r="N8" s="87">
        <f t="shared" si="3"/>
        <v>0.9375</v>
      </c>
      <c r="O8" s="87"/>
      <c r="P8" s="87"/>
    </row>
    <row r="9" spans="1:19">
      <c r="A9" s="87" t="s">
        <v>612</v>
      </c>
      <c r="B9" s="87" t="str">
        <f t="shared" si="1"/>
        <v>2</v>
      </c>
      <c r="C9" s="87" t="str">
        <f>+MID(VLOOKUP(A9,'Ambiente de Control'!$B$21:$C$235,2,0),4,LEN(VLOOKUP(A9,'Ambiente de Control'!$B$21:$C$235,2,0))-4)</f>
        <v xml:space="preserve"> Definición de líneas de reporte en temas clave para la toma de decisiones, atendiendo el Esquema de Líneas de Defens</v>
      </c>
      <c r="D9" s="87" t="s">
        <v>599</v>
      </c>
      <c r="E9" s="87" t="str">
        <f>+VLOOKUP(A9,'Ambiente de Control'!$B$21:$D$235,3,0)</f>
        <v>Dimensión Control Interno
Política de Control Interno
Línea de Defensa
Dimensión de Información y Comunicación</v>
      </c>
      <c r="F9" s="87" t="str">
        <f>+VLOOKUP(A9,'Ambiente de Control'!$B$21:$K$235,10,0)</f>
        <v>Mantenimiento del control</v>
      </c>
      <c r="G9" s="87">
        <f>+VLOOKUP(A9,'Ambiente de Control'!$B$21:$O$235,13,0)</f>
        <v>60.156979999999997</v>
      </c>
      <c r="H9" s="89">
        <f t="shared" si="2"/>
        <v>9</v>
      </c>
      <c r="I9" s="87" t="str">
        <f t="shared" si="0"/>
        <v>Cuando en el análisis de los requerimientos en los diferenes componentes del MECI se cuente con aspectos evaluados en nivel 2 (presente) y 3 (funcionando).</v>
      </c>
      <c r="J9" s="87" t="s">
        <v>610</v>
      </c>
      <c r="K9" s="87">
        <f>+IF(ISBLANK(VLOOKUP(A9,'Ambiente de Control'!$B$24:$F$235,5,0)),"",VLOOKUP(A9,'Ambiente de Control'!$B$24:$F$235,5,0))</f>
        <v>3</v>
      </c>
      <c r="L9" s="87">
        <f>+IF(ISBLANK(VLOOKUP(A9,'Ambiente de Control'!$B$24:$K$235,9,0)),"",VLOOKUP(A9,'Ambiente de Control'!$B$24:$K$235,9,0))</f>
        <v>3</v>
      </c>
      <c r="M9" s="87">
        <f t="shared" si="4"/>
        <v>1</v>
      </c>
      <c r="N9" s="87">
        <f t="shared" si="3"/>
        <v>0.9375</v>
      </c>
      <c r="O9" s="87"/>
      <c r="P9" s="87"/>
    </row>
    <row r="10" spans="1:19">
      <c r="A10" s="87" t="s">
        <v>613</v>
      </c>
      <c r="B10" s="87" t="str">
        <f t="shared" si="1"/>
        <v>3</v>
      </c>
      <c r="C10" s="87" t="str">
        <f>+MID(VLOOKUP(A10,'Ambiente de Control'!$B$21:$C$235,2,0),4,LEN(VLOOKUP(A10,'Ambiente de Control'!$B$21:$C$235,2,0))-4)</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definir ajustes, dificultades para su desarrollo</v>
      </c>
      <c r="D10" s="87" t="s">
        <v>599</v>
      </c>
      <c r="E10" s="87" t="str">
        <f>+VLOOKUP(A10,'Ambiente de Control'!$B$21:$D$235,3,0)</f>
        <v>Dimensión de Direccionamiento Estratégico y Planeación
Política de Planeación Institucional 
Dimensión Control Interno</v>
      </c>
      <c r="F10" s="87" t="str">
        <f>+VLOOKUP(A10,'Ambiente de Control'!$B$21:$K$235,10,0)</f>
        <v>Deficiencia de control (diseño o ejecución)</v>
      </c>
      <c r="G10" s="87">
        <f>+VLOOKUP(A10,'Ambiente de Control'!$B$21:$O$235,13,0)</f>
        <v>20.289650000000002</v>
      </c>
      <c r="H10" s="89">
        <f t="shared" si="2"/>
        <v>3</v>
      </c>
      <c r="I10" s="87" t="str">
        <f t="shared" si="0"/>
        <v>Cuando en el análisis de los requerimientos en los diferenes componentes del MECI se cuente con aspectos evaluados en nivel 1 (presente) y 1 (funcionando); 2 (presente) y 1 (funcionando).</v>
      </c>
      <c r="J10" s="87" t="s">
        <v>614</v>
      </c>
      <c r="K10" s="87">
        <f>+IF(ISBLANK(VLOOKUP(A10,'Ambiente de Control'!$B$24:$F$235,5,0)),"",VLOOKUP(A10,'Ambiente de Control'!$B$24:$F$235,5,0))</f>
        <v>3</v>
      </c>
      <c r="L10" s="87">
        <f>+IF(ISBLANK(VLOOKUP(A10,'Ambiente de Control'!$B$24:$K$235,9,0)),"",VLOOKUP(A10,'Ambiente de Control'!$B$24:$K$235,9,0))</f>
        <v>2</v>
      </c>
      <c r="M10" s="87">
        <f t="shared" si="4"/>
        <v>0.5</v>
      </c>
      <c r="N10" s="87">
        <f t="shared" si="3"/>
        <v>0.9375</v>
      </c>
      <c r="O10" s="87"/>
      <c r="P10" s="87"/>
    </row>
    <row r="11" spans="1:19">
      <c r="A11" s="87" t="s">
        <v>615</v>
      </c>
      <c r="B11" s="87" t="str">
        <f t="shared" si="1"/>
        <v>3</v>
      </c>
      <c r="C11" s="87" t="str">
        <f>+MID(VLOOKUP(A11,'Ambiente de Control'!$B$21:$C$235,2,0),4,LEN(VLOOKUP(A11,'Ambiente de Control'!$B$21:$C$235,2,0))-4)</f>
        <v xml:space="preserve"> Evaluación de la planeación estratégica, considerando alertas frente a posibles incumplimientos, necesidades de recursos, cambios en el entorno que puedan afectar su desarrollo, entre otros aspectos que garanticen de forma razonable su cumplimiento</v>
      </c>
      <c r="D11" s="87" t="s">
        <v>599</v>
      </c>
      <c r="E11" s="87" t="str">
        <f>+VLOOKUP(A11,'Ambiente de Control'!$B$21:$D$235,3,0)</f>
        <v>Dimensión Evaluación de Resultados 
Política de Seguimiento y Evaluación al Desempeño Institucional
Dimensión Control Interno
Líneas de defensa</v>
      </c>
      <c r="F11" s="87" t="str">
        <f>+VLOOKUP(A11,'Ambiente de Control'!$B$21:$K$235,10,0)</f>
        <v>Mantenimiento del control</v>
      </c>
      <c r="G11" s="87">
        <f>+VLOOKUP(A11,'Ambiente de Control'!$B$21:$O$235,13,0)</f>
        <v>60.489649999999997</v>
      </c>
      <c r="H11" s="89">
        <f t="shared" si="2"/>
        <v>11</v>
      </c>
      <c r="I11" s="87" t="str">
        <f t="shared" si="0"/>
        <v>Cuando en el análisis de los requerimientos en los diferenes componentes del MECI se cuente con aspectos evaluados en nivel 2 (presente) y 3 (funcionando).</v>
      </c>
      <c r="J11" s="87" t="s">
        <v>614</v>
      </c>
      <c r="K11" s="87">
        <f>+IF(ISBLANK(VLOOKUP(A11,'Ambiente de Control'!$B$24:$F$235,5,0)),"",VLOOKUP(A11,'Ambiente de Control'!$B$24:$F$235,5,0))</f>
        <v>3</v>
      </c>
      <c r="L11" s="87">
        <f>+IF(ISBLANK(VLOOKUP(A11,'Ambiente de Control'!$B$24:$K$235,9,0)),"",VLOOKUP(A11,'Ambiente de Control'!$B$24:$K$235,9,0))</f>
        <v>3</v>
      </c>
      <c r="M11" s="87">
        <f t="shared" si="4"/>
        <v>1</v>
      </c>
      <c r="N11" s="87">
        <f t="shared" si="3"/>
        <v>0.9375</v>
      </c>
      <c r="O11" s="87"/>
      <c r="P11" s="87"/>
    </row>
    <row r="12" spans="1:19">
      <c r="A12" s="87" t="s">
        <v>616</v>
      </c>
      <c r="B12" s="87" t="str">
        <f t="shared" si="1"/>
        <v>3</v>
      </c>
      <c r="C12" s="87" t="str">
        <f>+MID(VLOOKUP(A12,'Ambiente de Control'!$B$21:$C$235,2,0),4,LEN(VLOOKUP(A12,'Ambiente de Control'!$B$21:$C$235,2,0))-4)</f>
        <v xml:space="preserve"> La Alta Dirección frente a la política de Administración del Riesgo definen los niveles de aceptación del riesgo, teniendo en cuenta cada uno de los objetivos establecidos.</v>
      </c>
      <c r="D12" s="87" t="s">
        <v>599</v>
      </c>
      <c r="E12" s="87" t="str">
        <f>+VLOOKUP(A12,'Ambiente de Control'!$B$21:$D$235,3,0)</f>
        <v>Dimensión Control Interno
Política de Control Interno
Línea Estratégica</v>
      </c>
      <c r="F12" s="87" t="str">
        <f>+VLOOKUP(A12,'Ambiente de Control'!$B$21:$K$235,10,0)</f>
        <v>Mantenimiento del control</v>
      </c>
      <c r="G12" s="87">
        <f>+VLOOKUP(A12,'Ambiente de Control'!$B$21:$O$235,13,0)</f>
        <v>60.389653000000003</v>
      </c>
      <c r="H12" s="89">
        <f t="shared" si="2"/>
        <v>10</v>
      </c>
      <c r="I12" s="87" t="str">
        <f t="shared" si="0"/>
        <v>Cuando en el análisis de los requerimientos en los diferenes componentes del MECI se cuente con aspectos evaluados en nivel 2 (presente) y 3 (funcionando).</v>
      </c>
      <c r="J12" s="87" t="s">
        <v>614</v>
      </c>
      <c r="K12" s="87">
        <f>+IF(ISBLANK(VLOOKUP(A12,'Ambiente de Control'!$B$24:$F$235,5,0)),"",VLOOKUP(A12,'Ambiente de Control'!$B$24:$F$235,5,0))</f>
        <v>3</v>
      </c>
      <c r="L12" s="87">
        <f>+IF(ISBLANK(VLOOKUP(A12,'Ambiente de Control'!$B$24:$K$235,9,0)),"",VLOOKUP(A12,'Ambiente de Control'!$B$24:$K$235,9,0))</f>
        <v>3</v>
      </c>
      <c r="M12" s="87">
        <f t="shared" si="4"/>
        <v>1</v>
      </c>
      <c r="N12" s="87">
        <f t="shared" si="3"/>
        <v>0.9375</v>
      </c>
      <c r="O12" s="87"/>
      <c r="P12" s="87"/>
    </row>
    <row r="13" spans="1:19">
      <c r="A13" s="87" t="s">
        <v>617</v>
      </c>
      <c r="B13" s="87" t="str">
        <f t="shared" si="1"/>
        <v>4</v>
      </c>
      <c r="C13" s="87" t="str">
        <f>+MID(VLOOKUP(A13,'Ambiente de Control'!$B$21:$C$235,2,0),4,LEN(VLOOKUP(A13,'Ambiente de Control'!$B$21:$C$235,2,0))-4)</f>
        <v xml:space="preserve"> Evaluación de la Planeación Estratégica del Talento Humano</v>
      </c>
      <c r="D13" s="87" t="s">
        <v>599</v>
      </c>
      <c r="E13" s="87" t="str">
        <f>+VLOOKUP(A13,'Ambiente de Control'!$B$21:$D$235,3,0)</f>
        <v>Dimensión de Talento Humano
Política Gestión Estratégica del Talento Humano
Dimensión de Control Interno
Líneas de Defensa</v>
      </c>
      <c r="F13" s="87" t="str">
        <f>+VLOOKUP(A13,'Ambiente de Control'!$B$21:$K$235,10,0)</f>
        <v>Mantenimiento del control</v>
      </c>
      <c r="G13" s="87">
        <f>+VLOOKUP(A13,'Ambiente de Control'!$B$21:$O$235,13,0)</f>
        <v>60.589649999999999</v>
      </c>
      <c r="H13" s="89">
        <f t="shared" si="2"/>
        <v>12</v>
      </c>
      <c r="I13" s="87" t="str">
        <f t="shared" si="0"/>
        <v>Cuando en el análisis de los requerimientos en los diferenes componentes del MECI se cuente con aspectos evaluados en nivel 2 (presente) y 3 (funcionando).</v>
      </c>
      <c r="J13" s="87" t="s">
        <v>618</v>
      </c>
      <c r="K13" s="87">
        <f>+IF(ISBLANK(VLOOKUP(A13,'Ambiente de Control'!$B$24:$F$235,5,0)),"",VLOOKUP(A13,'Ambiente de Control'!$B$24:$F$235,5,0))</f>
        <v>3</v>
      </c>
      <c r="L13" s="87">
        <f>+IF(ISBLANK(VLOOKUP(A13,'Ambiente de Control'!$B$24:$K$235,9,0)),"",VLOOKUP(A13,'Ambiente de Control'!$B$24:$K$235,9,0))</f>
        <v>3</v>
      </c>
      <c r="M13" s="87">
        <f t="shared" si="4"/>
        <v>1</v>
      </c>
      <c r="N13" s="87">
        <f t="shared" si="3"/>
        <v>0.9375</v>
      </c>
      <c r="O13" s="87"/>
      <c r="P13" s="87"/>
    </row>
    <row r="14" spans="1:19">
      <c r="A14" s="87" t="s">
        <v>619</v>
      </c>
      <c r="B14" s="87" t="str">
        <f t="shared" si="1"/>
        <v>4</v>
      </c>
      <c r="C14" s="87" t="str">
        <f>+MID(VLOOKUP(A14,'Ambiente de Control'!$B$21:$C$235,2,0),4,LEN(VLOOKUP(A14,'Ambiente de Control'!$B$21:$C$235,2,0))-4)</f>
        <v xml:space="preserve"> Evaluación de las actividades relacionadas con el Ingreso del personal</v>
      </c>
      <c r="D14" s="87" t="s">
        <v>599</v>
      </c>
      <c r="E14" s="87" t="str">
        <f>+VLOOKUP(A14,'Ambiente de Control'!$B$21:$D$235,3,0)</f>
        <v>Dimensión de Talento Humano
Política Gestión Estratégica del Talento Humano
Dimensión de Control Interno
Líneas de Defensa</v>
      </c>
      <c r="F14" s="87" t="str">
        <f>+VLOOKUP(A14,'Ambiente de Control'!$B$21:$K$235,10,0)</f>
        <v>Mantenimiento del control</v>
      </c>
      <c r="G14" s="87">
        <f>+VLOOKUP(A14,'Ambiente de Control'!$B$21:$O$235,13,0)</f>
        <v>60.68965</v>
      </c>
      <c r="H14" s="89">
        <f t="shared" si="2"/>
        <v>13</v>
      </c>
      <c r="I14" s="87" t="str">
        <f t="shared" si="0"/>
        <v>Cuando en el análisis de los requerimientos en los diferenes componentes del MECI se cuente con aspectos evaluados en nivel 2 (presente) y 3 (funcionando).</v>
      </c>
      <c r="J14" s="87" t="s">
        <v>618</v>
      </c>
      <c r="K14" s="87">
        <f>+IF(ISBLANK(VLOOKUP(A14,'Ambiente de Control'!$B$24:$F$235,5,0)),"",VLOOKUP(A14,'Ambiente de Control'!$B$24:$F$235,5,0))</f>
        <v>3</v>
      </c>
      <c r="L14" s="87">
        <f>+IF(ISBLANK(VLOOKUP(A14,'Ambiente de Control'!$B$24:$K$235,9,0)),"",VLOOKUP(A14,'Ambiente de Control'!$B$24:$K$235,9,0))</f>
        <v>3</v>
      </c>
      <c r="M14" s="87">
        <f t="shared" si="4"/>
        <v>1</v>
      </c>
      <c r="N14" s="87">
        <f t="shared" si="3"/>
        <v>0.9375</v>
      </c>
      <c r="O14" s="87"/>
      <c r="P14" s="87"/>
    </row>
    <row r="15" spans="1:19">
      <c r="A15" s="87" t="s">
        <v>620</v>
      </c>
      <c r="B15" s="87" t="str">
        <f t="shared" si="1"/>
        <v>4</v>
      </c>
      <c r="C15" s="87" t="str">
        <f>+MID(VLOOKUP(A15,'Ambiente de Control'!$B$21:$C$235,2,0),4,LEN(VLOOKUP(A15,'Ambiente de Control'!$B$21:$C$235,2,0))-4)</f>
        <v xml:space="preserve"> Evaluación de las actividades relacionadas con la permanencia del personal</v>
      </c>
      <c r="D15" s="87" t="s">
        <v>599</v>
      </c>
      <c r="E15" s="87" t="str">
        <f>+VLOOKUP(A15,'Ambiente de Control'!$B$21:$D$235,3,0)</f>
        <v>Dimensión de Talento Humano
Política Gestión Estratégica del Talento Humano
Dimensión de Control Interno
Líneas de Defensa</v>
      </c>
      <c r="F15" s="87" t="str">
        <f>+VLOOKUP(A15,'Ambiente de Control'!$B$21:$K$235,10,0)</f>
        <v>Mantenimiento del control</v>
      </c>
      <c r="G15" s="87">
        <f>+VLOOKUP(A15,'Ambiente de Control'!$B$21:$O$235,13,0)</f>
        <v>60.789650000000002</v>
      </c>
      <c r="H15" s="89">
        <f t="shared" si="2"/>
        <v>14</v>
      </c>
      <c r="I15" s="87" t="str">
        <f t="shared" si="0"/>
        <v>Cuando en el análisis de los requerimientos en los diferenes componentes del MECI se cuente con aspectos evaluados en nivel 2 (presente) y 3 (funcionando).</v>
      </c>
      <c r="J15" s="87" t="s">
        <v>618</v>
      </c>
      <c r="K15" s="87">
        <f>+IF(ISBLANK(VLOOKUP(A15,'Ambiente de Control'!$B$24:$F$235,5,0)),"",VLOOKUP(A15,'Ambiente de Control'!$B$24:$F$235,5,0))</f>
        <v>3</v>
      </c>
      <c r="L15" s="87">
        <f>+IF(ISBLANK(VLOOKUP(A15,'Ambiente de Control'!$B$24:$K$235,9,0)),"",VLOOKUP(A15,'Ambiente de Control'!$B$24:$K$235,9,0))</f>
        <v>3</v>
      </c>
      <c r="M15" s="87">
        <f t="shared" si="4"/>
        <v>1</v>
      </c>
      <c r="N15" s="87">
        <f t="shared" si="3"/>
        <v>0.9375</v>
      </c>
      <c r="O15" s="87"/>
      <c r="P15" s="87"/>
    </row>
    <row r="16" spans="1:19">
      <c r="A16" s="87" t="s">
        <v>621</v>
      </c>
      <c r="B16" s="87" t="str">
        <f t="shared" si="1"/>
        <v>4</v>
      </c>
      <c r="C16" s="87" t="str">
        <f>+MID(VLOOKUP(A16,'Ambiente de Control'!$B$21:$C$235,2,0),4,LEN(VLOOKUP(A16,'Ambiente de Control'!$B$21:$C$235,2,0))-4)</f>
        <v>Analizar si se cuenta con políticas claras y comunicadas relacionadas con la responsabilidad de cada servidor sobre el desarrollo y mantenimiento del control interno (1a línea de defensa</v>
      </c>
      <c r="D16" s="87" t="s">
        <v>599</v>
      </c>
      <c r="E16" s="87" t="str">
        <f>+VLOOKUP(A16,'Ambiente de Control'!$B$21:$D$235,3,0)</f>
        <v>Dimensión de Talento Humano
Política Gestión Estratégica del Talento Humano
Dimensión de Control Interno
Líneas de Defensa</v>
      </c>
      <c r="F16" s="87" t="str">
        <f>+VLOOKUP(A16,'Ambiente de Control'!$B$21:$K$235,10,0)</f>
        <v>Mantenimiento del control</v>
      </c>
      <c r="G16" s="87">
        <f>+VLOOKUP(A16,'Ambiente de Control'!$B$21:$O$235,13,0)</f>
        <v>60.889650000000003</v>
      </c>
      <c r="H16" s="89">
        <f t="shared" si="2"/>
        <v>15</v>
      </c>
      <c r="I16" s="87" t="str">
        <f t="shared" si="0"/>
        <v>Cuando en el análisis de los requerimientos en los diferenes componentes del MECI se cuente con aspectos evaluados en nivel 2 (presente) y 3 (funcionando).</v>
      </c>
      <c r="J16" s="87" t="s">
        <v>618</v>
      </c>
      <c r="K16" s="87">
        <f>+IF(ISBLANK(VLOOKUP(A16,'Ambiente de Control'!$B$24:$F$235,5,0)),"",VLOOKUP(A16,'Ambiente de Control'!$B$24:$F$235,5,0))</f>
        <v>3</v>
      </c>
      <c r="L16" s="87">
        <f>+IF(ISBLANK(VLOOKUP(A16,'Ambiente de Control'!$B$24:$K$235,9,0)),"",VLOOKUP(A16,'Ambiente de Control'!$B$24:$K$235,9,0))</f>
        <v>3</v>
      </c>
      <c r="M16" s="87">
        <f t="shared" si="4"/>
        <v>1</v>
      </c>
      <c r="N16" s="87">
        <f t="shared" si="3"/>
        <v>0.9375</v>
      </c>
      <c r="O16" s="87"/>
      <c r="P16" s="87"/>
    </row>
    <row r="17" spans="1:16">
      <c r="A17" s="87" t="s">
        <v>622</v>
      </c>
      <c r="B17" s="87" t="str">
        <f t="shared" si="1"/>
        <v>4</v>
      </c>
      <c r="C17" s="87" t="str">
        <f>+MID(VLOOKUP(A17,'Ambiente de Control'!$B$21:$C$235,2,0),4,LEN(VLOOKUP(A17,'Ambiente de Control'!$B$21:$C$235,2,0))-4)</f>
        <v xml:space="preserve"> Evaluación de las actividades relacionadas con el retiro del personal</v>
      </c>
      <c r="D17" s="87" t="s">
        <v>599</v>
      </c>
      <c r="E17" s="87" t="str">
        <f>+VLOOKUP(A17,'Ambiente de Control'!$B$21:$D$235,3,0)</f>
        <v>Dimensión de Talento Humano
Política Gestión Estratégica del Talento Humano
Dimensión de Control Interno
Líneas de Defensa</v>
      </c>
      <c r="F17" s="87" t="str">
        <f>+VLOOKUP(A17,'Ambiente de Control'!$B$21:$K$235,10,0)</f>
        <v>Mantenimiento del control</v>
      </c>
      <c r="G17" s="87">
        <f>+VLOOKUP(A17,'Ambiente de Control'!$B$21:$O$235,13,0)</f>
        <v>60.989649999999997</v>
      </c>
      <c r="H17" s="89">
        <f t="shared" si="2"/>
        <v>16</v>
      </c>
      <c r="I17" s="87" t="str">
        <f t="shared" si="0"/>
        <v>Cuando en el análisis de los requerimientos en los diferenes componentes del MECI se cuente con aspectos evaluados en nivel 2 (presente) y 3 (funcionando).</v>
      </c>
      <c r="J17" s="87" t="s">
        <v>618</v>
      </c>
      <c r="K17" s="87">
        <f>+IF(ISBLANK(VLOOKUP(A17,'Ambiente de Control'!$B$24:$F$235,5,0)),"",VLOOKUP(A17,'Ambiente de Control'!$B$24:$F$235,5,0))</f>
        <v>3</v>
      </c>
      <c r="L17" s="87">
        <f>+IF(ISBLANK(VLOOKUP(A17,'Ambiente de Control'!$B$24:$K$235,9,0)),"",VLOOKUP(A17,'Ambiente de Control'!$B$24:$K$235,9,0))</f>
        <v>3</v>
      </c>
      <c r="M17" s="87">
        <f t="shared" si="4"/>
        <v>1</v>
      </c>
      <c r="N17" s="87">
        <f t="shared" si="3"/>
        <v>0.9375</v>
      </c>
      <c r="O17" s="87"/>
      <c r="P17" s="87"/>
    </row>
    <row r="18" spans="1:16">
      <c r="A18" s="87" t="s">
        <v>623</v>
      </c>
      <c r="B18" s="87" t="str">
        <f t="shared" si="1"/>
        <v>4</v>
      </c>
      <c r="C18" s="87" t="str">
        <f>+MID(VLOOKUP(A18,'Ambiente de Control'!$B$21:$C$235,2,0),4,LEN(VLOOKUP(A18,'Ambiente de Control'!$B$21:$C$235,2,0))-4)</f>
        <v xml:space="preserve"> Evaluar el impacto del Plan Institucional de Capacitación - PI</v>
      </c>
      <c r="D18" s="87" t="s">
        <v>599</v>
      </c>
      <c r="E18" s="87" t="str">
        <f>+VLOOKUP(A18,'Ambiente de Control'!$B$21:$D$235,3,0)</f>
        <v>Dimensión de Talento Humano
Política Gestión Estratégica del Talento Humano
Dimensión de Control Interno
Líneas de Defensa</v>
      </c>
      <c r="F18" s="87" t="str">
        <f>+VLOOKUP(A18,'Ambiente de Control'!$B$21:$K$235,10,0)</f>
        <v>Mantenimiento del control</v>
      </c>
      <c r="G18" s="87">
        <f>+VLOOKUP(A18,'Ambiente de Control'!$B$21:$O$235,13,0)</f>
        <v>60.989652</v>
      </c>
      <c r="H18" s="89">
        <f t="shared" si="2"/>
        <v>17</v>
      </c>
      <c r="I18" s="87" t="str">
        <f t="shared" si="0"/>
        <v>Cuando en el análisis de los requerimientos en los diferenes componentes del MECI se cuente con aspectos evaluados en nivel 2 (presente) y 3 (funcionando).</v>
      </c>
      <c r="J18" s="87" t="s">
        <v>618</v>
      </c>
      <c r="K18" s="87">
        <f>+IF(ISBLANK(VLOOKUP(A18,'Ambiente de Control'!$B$24:$F$235,5,0)),"",VLOOKUP(A18,'Ambiente de Control'!$B$24:$F$235,5,0))</f>
        <v>3</v>
      </c>
      <c r="L18" s="87">
        <f>+IF(ISBLANK(VLOOKUP(A18,'Ambiente de Control'!$B$24:$K$235,9,0)),"",VLOOKUP(A18,'Ambiente de Control'!$B$24:$K$235,9,0))</f>
        <v>3</v>
      </c>
      <c r="M18" s="87">
        <f t="shared" si="4"/>
        <v>1</v>
      </c>
      <c r="N18" s="87">
        <f t="shared" si="3"/>
        <v>0.9375</v>
      </c>
      <c r="O18" s="87"/>
      <c r="P18" s="87"/>
    </row>
    <row r="19" spans="1:16">
      <c r="A19" s="87" t="s">
        <v>624</v>
      </c>
      <c r="B19" s="87" t="str">
        <f t="shared" si="1"/>
        <v>4</v>
      </c>
      <c r="C19" s="87" t="str">
        <f>+MID(VLOOKUP(A19,'Ambiente de Control'!$B$21:$C$235,2,0),4,LEN(VLOOKUP(A19,'Ambiente de Control'!$B$21:$C$235,2,0))-4)</f>
        <v xml:space="preserve"> Evaluación frente a los productos y servicios en los cuales participan los contratistas de apoyo</v>
      </c>
      <c r="D19" s="87" t="s">
        <v>599</v>
      </c>
      <c r="E19" s="87" t="str">
        <f>+VLOOKUP(A19,'Ambiente de Control'!$B$21:$D$235,3,0)</f>
        <v>Dimensión de Talento Humano
Política Gestión Estratégica del Talento Humano
Dimensión de Control Interno
Líneas de Defensa</v>
      </c>
      <c r="F19" s="87" t="str">
        <f>+VLOOKUP(A19,'Ambiente de Control'!$B$21:$K$235,10,0)</f>
        <v>Mantenimiento del control</v>
      </c>
      <c r="G19" s="87">
        <f>+VLOOKUP(A19,'Ambiente de Control'!$B$21:$O$235,13,0)</f>
        <v>61.896230000000003</v>
      </c>
      <c r="H19" s="89">
        <f>+_xlfn.RANK.EQ(G19,$G$2:$G$82,1)</f>
        <v>24</v>
      </c>
      <c r="I19" s="87" t="str">
        <f t="shared" si="0"/>
        <v>Cuando en el análisis de los requerimientos en los diferenes componentes del MECI se cuente con aspectos evaluados en nivel 2 (presente) y 3 (funcionando).</v>
      </c>
      <c r="J19" s="87" t="s">
        <v>618</v>
      </c>
      <c r="K19" s="87">
        <f>+IF(ISBLANK(VLOOKUP(A19,'Ambiente de Control'!$B$24:$F$235,5,0)),"",VLOOKUP(A19,'Ambiente de Control'!$B$24:$F$235,5,0))</f>
        <v>3</v>
      </c>
      <c r="L19" s="87">
        <f>+IF(ISBLANK(VLOOKUP(A19,'Ambiente de Control'!$B$24:$K$235,9,0)),"",VLOOKUP(A19,'Ambiente de Control'!$B$24:$K$235,9,0))</f>
        <v>3</v>
      </c>
      <c r="M19" s="87">
        <f t="shared" si="4"/>
        <v>1</v>
      </c>
      <c r="N19" s="87">
        <f>+AVERAGEIF($D$2:$D$82,D19,$M$2:$M$82)</f>
        <v>0.9375</v>
      </c>
      <c r="O19" s="87"/>
      <c r="P19" s="87"/>
    </row>
    <row r="20" spans="1:16">
      <c r="A20" s="87" t="s">
        <v>625</v>
      </c>
      <c r="B20" s="87" t="str">
        <f t="shared" si="1"/>
        <v>5</v>
      </c>
      <c r="C20" s="87" t="str">
        <f>+MID(VLOOKUP(A20,'Ambiente de Control'!$B$21:$C$235,2,0),4,LEN(VLOOKUP(A20,'Ambiente de Control'!$B$21:$C$235,2,0))-4)</f>
        <v xml:space="preserve"> Acorde con la estructura del Esquema de Líneas de Defensa se han definido estándares de reporte, periodicidad y responsables frente a diferentes temas críticos de la entidad</v>
      </c>
      <c r="D20" s="87" t="s">
        <v>599</v>
      </c>
      <c r="E20" s="87" t="str">
        <f>+VLOOKUP(A20,'Ambiente de Control'!$B$21:$D$235,3,0)</f>
        <v>Dimensión de Información y Comunicación
Dimensión de Control Interno
Líneas de Defensa</v>
      </c>
      <c r="F20" s="87" t="str">
        <f>+VLOOKUP(A20,'Ambiente de Control'!$B$21:$K$235,10,0)</f>
        <v>Mantenimiento del control</v>
      </c>
      <c r="G20" s="87">
        <f>+VLOOKUP(A20,'Ambiente de Control'!$B$21:$O$235,13,0)</f>
        <v>61.189599999999999</v>
      </c>
      <c r="H20" s="89">
        <f t="shared" si="2"/>
        <v>18</v>
      </c>
      <c r="I20" s="87" t="str">
        <f t="shared" si="0"/>
        <v>Cuando en el análisis de los requerimientos en los diferenes componentes del MECI se cuente con aspectos evaluados en nivel 2 (presente) y 3 (funcionando).</v>
      </c>
      <c r="J20" s="87" t="s">
        <v>626</v>
      </c>
      <c r="K20" s="87">
        <f>+IF(ISBLANK(VLOOKUP(A20,'Ambiente de Control'!$B$24:$F$235,5,0)),"",VLOOKUP(A20,'Ambiente de Control'!$B$24:$F$235,5,0))</f>
        <v>3</v>
      </c>
      <c r="L20" s="87">
        <f>+IF(ISBLANK(VLOOKUP(A20,'Ambiente de Control'!$B$24:$K$235,9,0)),"",VLOOKUP(A20,'Ambiente de Control'!$B$24:$K$235,9,0))</f>
        <v>3</v>
      </c>
      <c r="M20" s="87">
        <f t="shared" si="4"/>
        <v>1</v>
      </c>
      <c r="N20" s="87">
        <f t="shared" si="3"/>
        <v>0.9375</v>
      </c>
      <c r="O20" s="87"/>
      <c r="P20" s="87"/>
    </row>
    <row r="21" spans="1:16">
      <c r="A21" s="87" t="s">
        <v>627</v>
      </c>
      <c r="B21" s="87" t="str">
        <f t="shared" si="1"/>
        <v>5</v>
      </c>
      <c r="C21" s="87" t="str">
        <f>+MID(VLOOKUP(A21,'Ambiente de Control'!$B$21:$C$235,2,0),4,LEN(VLOOKUP(A21,'Ambiente de Control'!$B$21:$C$235,2,0))-4)</f>
        <v xml:space="preserve"> La Alta Dirección analiza la información asociada con la generación de reportes financieros</v>
      </c>
      <c r="D21" s="87" t="s">
        <v>599</v>
      </c>
      <c r="E21" s="87" t="str">
        <f>+VLOOKUP(A21,'Ambiente de Control'!$B$21:$D$235,3,0)</f>
        <v>Dimensión de Control Interno
Línea de Estratégica</v>
      </c>
      <c r="F21" s="87" t="str">
        <f>+VLOOKUP(A21,'Ambiente de Control'!$B$21:$K$235,10,0)</f>
        <v>Mantenimiento del control</v>
      </c>
      <c r="G21" s="87">
        <f>+VLOOKUP(A21,'Ambiente de Control'!$B$21:$O$235,13,0)</f>
        <v>61.289650000000002</v>
      </c>
      <c r="H21" s="89">
        <f t="shared" si="2"/>
        <v>19</v>
      </c>
      <c r="I21" s="87" t="str">
        <f t="shared" si="0"/>
        <v>Cuando en el análisis de los requerimientos en los diferenes componentes del MECI se cuente con aspectos evaluados en nivel 2 (presente) y 3 (funcionando).</v>
      </c>
      <c r="J21" s="87" t="s">
        <v>626</v>
      </c>
      <c r="K21" s="87">
        <f>+IF(ISBLANK(VLOOKUP(A21,'Ambiente de Control'!$B$24:$F$235,5,0)),"",VLOOKUP(A21,'Ambiente de Control'!$B$24:$F$235,5,0))</f>
        <v>3</v>
      </c>
      <c r="L21" s="87">
        <f>+IF(ISBLANK(VLOOKUP(A21,'Ambiente de Control'!$B$24:$K$235,9,0)),"",VLOOKUP(A21,'Ambiente de Control'!$B$24:$K$235,9,0))</f>
        <v>3</v>
      </c>
      <c r="M21" s="87">
        <f t="shared" si="4"/>
        <v>1</v>
      </c>
      <c r="N21" s="87">
        <f t="shared" si="3"/>
        <v>0.9375</v>
      </c>
      <c r="O21" s="87"/>
      <c r="P21" s="87"/>
    </row>
    <row r="22" spans="1:16">
      <c r="A22" s="87" t="s">
        <v>628</v>
      </c>
      <c r="B22" s="87" t="str">
        <f t="shared" si="1"/>
        <v>5</v>
      </c>
      <c r="C22" s="87" t="str">
        <f>+MID(VLOOKUP(A22,'Ambiente de Control'!$B$21:$C$235,2,0),4,LEN(VLOOKUP(A22,'Ambiente de Control'!$B$21:$C$235,2,0))-4)</f>
        <v xml:space="preserve"> Teniendo en cuenta la información suministrada por la 2a y 3a línea de defensa se toman decisiones a tiempo para garantizar el cumplimiento de las metas y objetivos</v>
      </c>
      <c r="D22" s="87" t="s">
        <v>599</v>
      </c>
      <c r="E22" s="87" t="str">
        <f>+VLOOKUP(A22,'Ambiente de Control'!$B$21:$D$235,3,0)</f>
        <v>Dimensión de Control Interno
Líneas de Defensa</v>
      </c>
      <c r="F22" s="87" t="str">
        <f>+VLOOKUP(A22,'Ambiente de Control'!$B$21:$K$235,10,0)</f>
        <v>Mantenimiento del control</v>
      </c>
      <c r="G22" s="87">
        <f>+VLOOKUP(A22,'Ambiente de Control'!$B$21:$O$235,13,0)</f>
        <v>61.389629999999997</v>
      </c>
      <c r="H22" s="89">
        <f t="shared" si="2"/>
        <v>20</v>
      </c>
      <c r="I22" s="87" t="str">
        <f t="shared" si="0"/>
        <v>Cuando en el análisis de los requerimientos en los diferenes componentes del MECI se cuente con aspectos evaluados en nivel 2 (presente) y 3 (funcionando).</v>
      </c>
      <c r="J22" s="87" t="s">
        <v>626</v>
      </c>
      <c r="K22" s="87">
        <f>+IF(ISBLANK(VLOOKUP(A22,'Ambiente de Control'!$B$24:$F$235,5,0)),"",VLOOKUP(A22,'Ambiente de Control'!$B$24:$F$235,5,0))</f>
        <v>3</v>
      </c>
      <c r="L22" s="87">
        <f>+IF(ISBLANK(VLOOKUP(A22,'Ambiente de Control'!$B$24:$K$235,9,0)),"",VLOOKUP(A22,'Ambiente de Control'!$B$24:$K$235,9,0))</f>
        <v>3</v>
      </c>
      <c r="M22" s="87">
        <f t="shared" si="4"/>
        <v>1</v>
      </c>
      <c r="N22" s="87">
        <f t="shared" si="3"/>
        <v>0.9375</v>
      </c>
      <c r="O22" s="87"/>
      <c r="P22" s="87"/>
    </row>
    <row r="23" spans="1:16">
      <c r="A23" s="87" t="s">
        <v>629</v>
      </c>
      <c r="B23" s="87" t="str">
        <f t="shared" si="1"/>
        <v>5</v>
      </c>
      <c r="C23" s="87" t="str">
        <f>+MID(VLOOKUP(A23,'Ambiente de Control'!$B$21:$C$235,2,0),4,LEN(VLOOKUP(A23,'Ambiente de Control'!$B$21:$C$235,2,0))-4)</f>
        <v xml:space="preserve"> Se evalúa la estructura de control a partir de los cambios en procesos, procedimientos, u otras herramientas, a fin de garantizar su adecuada formulación y afectación frente a la gestión del riesgo</v>
      </c>
      <c r="D23" s="87" t="s">
        <v>599</v>
      </c>
      <c r="E23" s="87" t="str">
        <f>+VLOOKUP(A23,'Ambiente de Control'!$B$21:$D$235,3,0)</f>
        <v>Dimensión de Gestión con Valores para Resultado
Política de Fortalecimiento Organizacional y Simplificación de Procesos
Dimensión Control Interno
Líneas de Defensa</v>
      </c>
      <c r="F23" s="87" t="str">
        <f>+VLOOKUP(A23,'Ambiente de Control'!$B$21:$K$235,10,0)</f>
        <v>Mantenimiento del control</v>
      </c>
      <c r="G23" s="87">
        <f>+VLOOKUP(A23,'Ambiente de Control'!$B$21:$O$235,13,0)</f>
        <v>61.489629999999998</v>
      </c>
      <c r="H23" s="89">
        <f t="shared" si="2"/>
        <v>21</v>
      </c>
      <c r="I23" s="87" t="str">
        <f t="shared" si="0"/>
        <v>Cuando en el análisis de los requerimientos en los diferenes componentes del MECI se cuente con aspectos evaluados en nivel 2 (presente) y 3 (funcionando).</v>
      </c>
      <c r="J23" s="87" t="s">
        <v>626</v>
      </c>
      <c r="K23" s="87">
        <f>+IF(ISBLANK(VLOOKUP(A23,'Ambiente de Control'!$B$24:$F$235,5,0)),"",VLOOKUP(A23,'Ambiente de Control'!$B$24:$F$235,5,0))</f>
        <v>3</v>
      </c>
      <c r="L23" s="87">
        <f>+IF(ISBLANK(VLOOKUP(A23,'Ambiente de Control'!$B$24:$K$235,9,0)),"",VLOOKUP(A23,'Ambiente de Control'!$B$24:$K$235,9,0))</f>
        <v>3</v>
      </c>
      <c r="M23" s="87">
        <f t="shared" si="4"/>
        <v>1</v>
      </c>
      <c r="N23" s="87">
        <f t="shared" si="3"/>
        <v>0.9375</v>
      </c>
      <c r="O23" s="87"/>
      <c r="P23" s="87"/>
    </row>
    <row r="24" spans="1:16">
      <c r="A24" s="87" t="s">
        <v>630</v>
      </c>
      <c r="B24" s="87" t="str">
        <f t="shared" si="1"/>
        <v>5</v>
      </c>
      <c r="C24" s="87" t="str">
        <f>+MID(VLOOKUP(A24,'Ambiente de Control'!$B$21:$C$235,2,0),4,LEN(VLOOKUP(A24,'Ambiente de Control'!$B$21:$C$235,2,0))-4)</f>
        <v xml:space="preserve"> La entidad aprueba y hace seguimiento al Plan Anual de Auditoría presentado y ejecutado por parte de la Oficina de Control Interno</v>
      </c>
      <c r="D24" s="87" t="s">
        <v>599</v>
      </c>
      <c r="E24" s="87" t="str">
        <f>+VLOOKUP(A24,'Ambiente de Control'!$B$21:$D$235,3,0)</f>
        <v>Dimensión Control Interno
Línea Estratégica</v>
      </c>
      <c r="F24" s="87" t="str">
        <f>+VLOOKUP(A24,'Ambiente de Control'!$B$21:$K$235,10,0)</f>
        <v>Mantenimiento del control</v>
      </c>
      <c r="G24" s="87">
        <f>+VLOOKUP(A24,'Ambiente de Control'!$B$21:$O$235,13,0)</f>
        <v>61.589649999999999</v>
      </c>
      <c r="H24" s="89">
        <f t="shared" si="2"/>
        <v>22</v>
      </c>
      <c r="I24" s="87" t="str">
        <f t="shared" si="0"/>
        <v>Cuando en el análisis de los requerimientos en los diferenes componentes del MECI se cuente con aspectos evaluados en nivel 2 (presente) y 3 (funcionando).</v>
      </c>
      <c r="J24" s="87" t="s">
        <v>626</v>
      </c>
      <c r="K24" s="87">
        <f>+IF(ISBLANK(VLOOKUP(A24,'Ambiente de Control'!$B$24:$F$235,5,0)),"",VLOOKUP(A24,'Ambiente de Control'!$B$24:$F$235,5,0))</f>
        <v>3</v>
      </c>
      <c r="L24" s="87">
        <f>+IF(ISBLANK(VLOOKUP(A24,'Ambiente de Control'!$B$24:$K$235,9,0)),"",VLOOKUP(A24,'Ambiente de Control'!$B$24:$K$235,9,0))</f>
        <v>3</v>
      </c>
      <c r="M24" s="87">
        <f t="shared" si="4"/>
        <v>1</v>
      </c>
      <c r="N24" s="87">
        <f t="shared" si="3"/>
        <v>0.9375</v>
      </c>
      <c r="O24" s="87"/>
      <c r="P24" s="87"/>
    </row>
    <row r="25" spans="1:16">
      <c r="A25" s="87" t="s">
        <v>631</v>
      </c>
      <c r="B25" s="87" t="str">
        <f t="shared" si="1"/>
        <v>5</v>
      </c>
      <c r="C25" s="87" t="str">
        <f>+MID(VLOOKUP(A25,'Ambiente de Control'!$B$21:$C$235,2,0),4,LEN(VLOOKUP(A25,'Ambiente de Control'!$B$21:$C$235,2,0))-4)</f>
        <v xml:space="preserve"> La entidad analiza los informes presentados por la Oficina de Control Interno y evalúa su impacto en relación con la mejora institucional</v>
      </c>
      <c r="D25" s="87" t="s">
        <v>599</v>
      </c>
      <c r="E25" s="87" t="str">
        <f>+VLOOKUP(A25,'Ambiente de Control'!$B$21:$D$235,3,0)</f>
        <v>Dimensión Control Interno
Línea Estratégica</v>
      </c>
      <c r="F25" s="87" t="str">
        <f>+VLOOKUP(A25,'Ambiente de Control'!$B$21:$K$235,10,0)</f>
        <v>Mantenimiento del control</v>
      </c>
      <c r="G25" s="87">
        <f>+VLOOKUP(A25,'Ambiente de Control'!$B$21:$O$235,13,0)</f>
        <v>61.689653</v>
      </c>
      <c r="H25" s="89">
        <f t="shared" si="2"/>
        <v>23</v>
      </c>
      <c r="I25" s="87" t="str">
        <f t="shared" si="0"/>
        <v>Cuando en el análisis de los requerimientos en los diferenes componentes del MECI se cuente con aspectos evaluados en nivel 2 (presente) y 3 (funcionando).</v>
      </c>
      <c r="J25" s="87" t="s">
        <v>626</v>
      </c>
      <c r="K25" s="87">
        <f>+IF(ISBLANK(VLOOKUP(A25,'Ambiente de Control'!$B$24:$F$235,5,0)),"",VLOOKUP(A25,'Ambiente de Control'!$B$24:$F$235,5,0))</f>
        <v>3</v>
      </c>
      <c r="L25" s="87">
        <f>+IF(ISBLANK(VLOOKUP(A25,'Ambiente de Control'!$B$24:$K$235,9,0)),"",VLOOKUP(A25,'Ambiente de Control'!$B$24:$K$235,9,0))</f>
        <v>3</v>
      </c>
      <c r="M25" s="87">
        <f t="shared" si="4"/>
        <v>1</v>
      </c>
      <c r="N25" s="87">
        <f t="shared" si="3"/>
        <v>0.9375</v>
      </c>
      <c r="O25" s="87"/>
      <c r="P25" s="87"/>
    </row>
    <row r="26" spans="1:16">
      <c r="A26" s="87" t="s">
        <v>632</v>
      </c>
      <c r="B26" s="87" t="str">
        <f t="shared" si="1"/>
        <v>6</v>
      </c>
      <c r="C26" s="87" t="str">
        <f>+MID(VLOOKUP(A26,'Evaluación de riesgos'!$B$13:$C$160,2,0),4,LEN(VLOOKUP(A26,'Evaluación de riesgos'!$B$13:$C$160,2,0))-4)</f>
        <v xml:space="preserve">  La Entidad cuenta con mecanismos para vincular o relacionar el plan estratégico con los objetivos estratégicos y estos a su vez con los objetivos operativos</v>
      </c>
      <c r="D26" s="87" t="s">
        <v>585</v>
      </c>
      <c r="E26" s="87" t="str">
        <f>+VLOOKUP(A26,'Evaluación de riesgos'!$B$13:$K$160,3,0)</f>
        <v>Dimensión de Direccionamiento Estratégico y Planeación.
Política de Planeación Institucional</v>
      </c>
      <c r="F26" s="87" t="str">
        <f>+VLOOKUP(A26,'Evaluación de riesgos'!$B$13:$K$160,10,0)</f>
        <v>Mantenimiento del control</v>
      </c>
      <c r="G26" s="87">
        <f>+VLOOKUP(A26,'Evaluación de riesgos'!$B$13:$O$160,13,0)</f>
        <v>141.78960000000001</v>
      </c>
      <c r="H26" s="89">
        <f t="shared" si="2"/>
        <v>28</v>
      </c>
      <c r="I26" s="87" t="str">
        <f t="shared" si="0"/>
        <v>Cuando en el análisis de los requerimientos en los diferenes componentes del MECI se cuente con aspectos evaluados en nivel 2 (presente) y 3 (funcionando).</v>
      </c>
      <c r="J26" s="87" t="s">
        <v>633</v>
      </c>
      <c r="K26" s="87">
        <f>+IF(ISBLANK(VLOOKUP(A26,'Evaluación de riesgos'!$B$16:$F$160,5,0)),"",VLOOKUP(A26,'Evaluación de riesgos'!$B$16:$F$160,5,0))</f>
        <v>3</v>
      </c>
      <c r="L26" s="87">
        <f>+IF(ISBLANK(VLOOKUP(A26,'Evaluación de riesgos'!$B$16:$J$160,9,9)),"",VLOOKUP(A26,'Evaluación de riesgos'!$B$16:$J$160,9,9))</f>
        <v>3</v>
      </c>
      <c r="M26" s="87">
        <f t="shared" si="4"/>
        <v>1</v>
      </c>
      <c r="N26" s="87">
        <f t="shared" si="3"/>
        <v>0.91176470588235292</v>
      </c>
      <c r="O26" s="87"/>
      <c r="P26" s="87"/>
    </row>
    <row r="27" spans="1:16">
      <c r="A27" s="87" t="s">
        <v>634</v>
      </c>
      <c r="B27" s="87" t="str">
        <f t="shared" si="1"/>
        <v>6</v>
      </c>
      <c r="C27" s="87" t="str">
        <f>+MID(VLOOKUP(A27,'Evaluación de riesgos'!$B$13:$C$160,2,0),4,LEN(VLOOKUP(A27,'Evaluación de riesgos'!$B$13:$C$160,2,0))-4)</f>
        <v xml:space="preserve"> Los objetivos de los procesos, programas o proyectos (según aplique) que están definidos, son específicos, medibles, alcanzables, relevantes, delimitados en el tiempo</v>
      </c>
      <c r="D27" s="87" t="s">
        <v>585</v>
      </c>
      <c r="E27" s="87" t="str">
        <f>+VLOOKUP(A27,'Evaluación de riesgos'!$B$13:$K$160,3,0)</f>
        <v>Dimensión de Gestión con Valores para Resultado
Política de Fortalecimiento Organizacional y Simplificación de Procesos</v>
      </c>
      <c r="F27" s="87" t="str">
        <f>+VLOOKUP(A27,'Evaluación de riesgos'!$B$13:$K$160,10,0)</f>
        <v>Mantenimiento del control</v>
      </c>
      <c r="G27" s="87">
        <f>+VLOOKUP(A27,'Evaluación de riesgos'!$B$13:$O$160,13,0)</f>
        <v>141.8896</v>
      </c>
      <c r="H27" s="89">
        <f t="shared" si="2"/>
        <v>29</v>
      </c>
      <c r="I27" s="87" t="str">
        <f t="shared" si="0"/>
        <v>Cuando en el análisis de los requerimientos en los diferenes componentes del MECI se cuente con aspectos evaluados en nivel 2 (presente) y 3 (funcionando).</v>
      </c>
      <c r="J27" s="87" t="s">
        <v>633</v>
      </c>
      <c r="K27" s="87">
        <f>+IF(ISBLANK(VLOOKUP(A27,'Evaluación de riesgos'!$B$16:$F$160,5,0)),"",VLOOKUP(A27,'Evaluación de riesgos'!$B$16:$F$160,5,0))</f>
        <v>3</v>
      </c>
      <c r="L27" s="87">
        <f>+IF(ISBLANK(VLOOKUP(A27,'Evaluación de riesgos'!$B$16:$J$160,9,9)),"",VLOOKUP(A27,'Evaluación de riesgos'!$B$16:$J$160,9,9))</f>
        <v>3</v>
      </c>
      <c r="M27" s="87">
        <f t="shared" si="4"/>
        <v>1</v>
      </c>
      <c r="N27" s="87">
        <f t="shared" si="3"/>
        <v>0.91176470588235292</v>
      </c>
      <c r="O27" s="87"/>
      <c r="P27" s="87"/>
    </row>
    <row r="28" spans="1:16">
      <c r="A28" s="87" t="s">
        <v>635</v>
      </c>
      <c r="B28" s="87" t="str">
        <f t="shared" si="1"/>
        <v>6</v>
      </c>
      <c r="C28" s="87" t="str">
        <f>+MID(VLOOKUP(A28,'Evaluación de riesgos'!$B$13:$C$160,2,0),4,LEN(VLOOKUP(A28,'Evaluación de riesgos'!$B$13:$C$160,2,0))-4)</f>
        <v xml:space="preserve"> La Alta Dirección evalúa periódicamente los objetivos establecidos para asegurar que estos continúan siendo consistentes y apropiados para la Entidad</v>
      </c>
      <c r="D28" s="87" t="s">
        <v>585</v>
      </c>
      <c r="E28" s="87" t="str">
        <f>+VLOOKUP(A28,'Evaluación de riesgos'!$B$13:$K$160,3,0)</f>
        <v>Dimensión de Direccionamiento Estratégico y Planeación.
Política de Planeación Institucional
Dimensión Control Interno
Línea Estratégica</v>
      </c>
      <c r="F28" s="87" t="str">
        <f>+VLOOKUP(A28,'Evaluación de riesgos'!$B$13:$K$160,10,0)</f>
        <v>Mantenimiento del control</v>
      </c>
      <c r="G28" s="87">
        <f>+VLOOKUP(A28,'Evaluación de riesgos'!$B$13:$O$160,13,0)</f>
        <v>141.97540000000001</v>
      </c>
      <c r="H28" s="89">
        <f t="shared" si="2"/>
        <v>30</v>
      </c>
      <c r="I28" s="87" t="str">
        <f t="shared" si="0"/>
        <v>Cuando en el análisis de los requerimientos en los diferenes componentes del MECI se cuente con aspectos evaluados en nivel 2 (presente) y 3 (funcionando).</v>
      </c>
      <c r="J28" s="87" t="s">
        <v>633</v>
      </c>
      <c r="K28" s="87">
        <f>+IF(ISBLANK(VLOOKUP(A28,'Evaluación de riesgos'!$B$16:$F$160,5,0)),"",VLOOKUP(A28,'Evaluación de riesgos'!$B$16:$F$160,5,0))</f>
        <v>3</v>
      </c>
      <c r="L28" s="87">
        <f>+IF(ISBLANK(VLOOKUP(A28,'Evaluación de riesgos'!$B$16:$J$160,9,9)),"",VLOOKUP(A28,'Evaluación de riesgos'!$B$16:$J$160,9,9))</f>
        <v>3</v>
      </c>
      <c r="M28" s="87">
        <f t="shared" si="4"/>
        <v>1</v>
      </c>
      <c r="N28" s="87">
        <f t="shared" si="3"/>
        <v>0.91176470588235292</v>
      </c>
      <c r="O28" s="87"/>
      <c r="P28" s="87"/>
    </row>
    <row r="29" spans="1:16">
      <c r="A29" s="87" t="s">
        <v>636</v>
      </c>
      <c r="B29" s="87" t="str">
        <f t="shared" si="1"/>
        <v>7</v>
      </c>
      <c r="C29" s="87" t="str">
        <f>+MID(VLOOKUP(A29,'Evaluación de riesgos'!$B$13:$C$160,2,0),4,LEN(VLOOKUP(A29,'Evaluación de riesgos'!$B$13:$C$160,2,0))-4)</f>
        <v xml:space="preserve"> Teniendo en cuenta la estructura de la política de Administración del Riesgo, su alcance define lineamientos para toda la entidad, incluyendo regionales, áreas tercerizadas u otras instancias que afectan la prestación del servicio</v>
      </c>
      <c r="D29" s="87" t="s">
        <v>585</v>
      </c>
      <c r="E29" s="87" t="str">
        <f>+VLOOKUP(A29,'Evaluación de riesgos'!$B$13:$K$160,3,0)</f>
        <v>Dimensión de Direccionamiento Estratégico y Planeación.
Política de Planeación Institucional</v>
      </c>
      <c r="F29" s="87" t="str">
        <f>+VLOOKUP(A29,'Evaluación de riesgos'!$B$13:$K$160,10,0)</f>
        <v>Mantenimiento del control</v>
      </c>
      <c r="G29" s="87">
        <f>+VLOOKUP(A29,'Evaluación de riesgos'!$B$13:$O$160,13,0)</f>
        <v>142.08959999999999</v>
      </c>
      <c r="H29" s="89">
        <f t="shared" si="2"/>
        <v>31</v>
      </c>
      <c r="I29" s="87" t="str">
        <f t="shared" si="0"/>
        <v>Cuando en el análisis de los requerimientos en los diferenes componentes del MECI se cuente con aspectos evaluados en nivel 2 (presente) y 3 (funcionando).</v>
      </c>
      <c r="J29" s="87" t="s">
        <v>637</v>
      </c>
      <c r="K29" s="87">
        <f>+IF(ISBLANK(VLOOKUP(A29,'Evaluación de riesgos'!$B$16:$F$160,5,0)),"",VLOOKUP(A29,'Evaluación de riesgos'!$B$16:$F$160,5,0))</f>
        <v>3</v>
      </c>
      <c r="L29" s="87">
        <f>+IF(ISBLANK(VLOOKUP(A29,'Evaluación de riesgos'!$B$16:$J$160,9,9)),"",VLOOKUP(A29,'Evaluación de riesgos'!$B$16:$J$160,9,9))</f>
        <v>3</v>
      </c>
      <c r="M29" s="87">
        <f t="shared" si="4"/>
        <v>1</v>
      </c>
      <c r="N29" s="87">
        <f t="shared" si="3"/>
        <v>0.91176470588235292</v>
      </c>
      <c r="O29" s="87"/>
      <c r="P29" s="87"/>
    </row>
    <row r="30" spans="1:16">
      <c r="A30" s="87" t="s">
        <v>638</v>
      </c>
      <c r="B30" s="87" t="str">
        <f t="shared" si="1"/>
        <v>7</v>
      </c>
      <c r="C30" s="87" t="str">
        <f>+MID(VLOOKUP(A30,'Evaluación de riesgos'!$B$13:$C$160,2,0),4,LEN(VLOOKUP(A30,'Evaluación de riesgos'!$B$13:$C$160,2,0))-4)</f>
        <v xml:space="preserve"> La Oficina de Planeación, Gerencia de Riesgos (donde existan), como 2a línea de defensa, consolidan información clave frente a la gestión del riesgo</v>
      </c>
      <c r="D30" s="87" t="s">
        <v>585</v>
      </c>
      <c r="E30" s="87" t="str">
        <f>+VLOOKUP(A30,'Evaluación de riesgos'!$B$13:$K$160,3,0)</f>
        <v>Dimensión Control Interno 
Líneas de Defensa</v>
      </c>
      <c r="F30" s="87" t="str">
        <f>+VLOOKUP(A30,'Evaluación de riesgos'!$B$13:$K$160,10,0)</f>
        <v>Mantenimiento del control</v>
      </c>
      <c r="G30" s="87">
        <f>+VLOOKUP(A30,'Evaluación de riesgos'!$B$13:$O$160,13,0)</f>
        <v>142.1456</v>
      </c>
      <c r="H30" s="89">
        <f t="shared" si="2"/>
        <v>32</v>
      </c>
      <c r="I30" s="87" t="str">
        <f t="shared" si="0"/>
        <v>Cuando en el análisis de los requerimientos en los diferenes componentes del MECI se cuente con aspectos evaluados en nivel 2 (presente) y 3 (funcionando).</v>
      </c>
      <c r="J30" s="87" t="s">
        <v>637</v>
      </c>
      <c r="K30" s="87">
        <f>+IF(ISBLANK(VLOOKUP(A30,'Evaluación de riesgos'!$B$16:$F$160,5,0)),"",VLOOKUP(A30,'Evaluación de riesgos'!$B$16:$F$160,5,0))</f>
        <v>3</v>
      </c>
      <c r="L30" s="87">
        <f>+IF(ISBLANK(VLOOKUP(A30,'Evaluación de riesgos'!$B$16:$J$160,9,9)),"",VLOOKUP(A30,'Evaluación de riesgos'!$B$16:$J$160,9,9))</f>
        <v>3</v>
      </c>
      <c r="M30" s="87">
        <f t="shared" si="4"/>
        <v>1</v>
      </c>
      <c r="N30" s="87">
        <f t="shared" si="3"/>
        <v>0.91176470588235292</v>
      </c>
      <c r="O30" s="87"/>
      <c r="P30" s="87"/>
    </row>
    <row r="31" spans="1:16">
      <c r="A31" s="87" t="s">
        <v>639</v>
      </c>
      <c r="B31" s="87" t="str">
        <f t="shared" si="1"/>
        <v>7</v>
      </c>
      <c r="C31" s="87" t="str">
        <f>+MID(VLOOKUP(A31,'Evaluación de riesgos'!$B$13:$C$160,2,0),4,LEN(VLOOKUP(A31,'Evaluación de riesgos'!$B$13:$C$160,2,0))-4)</f>
        <v xml:space="preserve"> A partir de la información consolidada y reportada por la 2a línea de defensa (7.2), la Alta Dirección analiza sus resultados y en especial considera si se han presentado materializaciones de riesgo</v>
      </c>
      <c r="D31" s="87" t="s">
        <v>585</v>
      </c>
      <c r="E31" s="87" t="str">
        <f>+VLOOKUP(A31,'Evaluación de riesgos'!$B$13:$K$160,3,0)</f>
        <v>Dimensión Control Interno 
Líneas de Defensa</v>
      </c>
      <c r="F31" s="87" t="str">
        <f>+VLOOKUP(A31,'Evaluación de riesgos'!$B$13:$K$160,10,0)</f>
        <v>Mantenimiento del control</v>
      </c>
      <c r="G31" s="87">
        <f>+VLOOKUP(A31,'Evaluación de riesgos'!$B$13:$O$160,13,0)</f>
        <v>142.23650000000001</v>
      </c>
      <c r="H31" s="89">
        <f t="shared" si="2"/>
        <v>33</v>
      </c>
      <c r="I31" s="87" t="str">
        <f t="shared" si="0"/>
        <v>Cuando en el análisis de los requerimientos en los diferenes componentes del MECI se cuente con aspectos evaluados en nivel 2 (presente) y 3 (funcionando).</v>
      </c>
      <c r="J31" s="87" t="s">
        <v>637</v>
      </c>
      <c r="K31" s="87">
        <f>+IF(ISBLANK(VLOOKUP(A31,'Evaluación de riesgos'!$B$16:$F$160,5,0)),"",VLOOKUP(A31,'Evaluación de riesgos'!$B$16:$F$160,5,0))</f>
        <v>3</v>
      </c>
      <c r="L31" s="87">
        <f>+IF(ISBLANK(VLOOKUP(A31,'Evaluación de riesgos'!$B$16:$J$160,9,9)),"",VLOOKUP(A31,'Evaluación de riesgos'!$B$16:$J$160,9,9))</f>
        <v>3</v>
      </c>
      <c r="M31" s="87">
        <f t="shared" si="4"/>
        <v>1</v>
      </c>
      <c r="N31" s="87">
        <f t="shared" si="3"/>
        <v>0.91176470588235292</v>
      </c>
      <c r="O31" s="87"/>
      <c r="P31" s="87"/>
    </row>
    <row r="32" spans="1:16">
      <c r="A32" s="87" t="s">
        <v>640</v>
      </c>
      <c r="B32" s="87" t="str">
        <f t="shared" si="1"/>
        <v>7</v>
      </c>
      <c r="C32" s="87" t="str">
        <f>+MID(VLOOKUP(A32,'Evaluación de riesgos'!$B$13:$C$160,2,0),4,LEN(VLOOKUP(A32,'Evaluación de riesgos'!$B$13:$C$160,2,0))-4)</f>
        <v xml:space="preserve"> Cuando se detectan materializaciones de riesgo, se definen los cursos de acción en relación con la revisión y actualización del mapa de riesgos correspondiente</v>
      </c>
      <c r="D32" s="87" t="s">
        <v>585</v>
      </c>
      <c r="E32" s="87" t="str">
        <f>+VLOOKUP(A32,'Evaluación de riesgos'!$B$13:$K$160,3,0)</f>
        <v>Dimensión de Direccionamiento Estratégico y Planeación.
Política de Planeación Institucional
Dimensión Control Interno 
Líneas de Defensa</v>
      </c>
      <c r="F32" s="87" t="str">
        <f>+VLOOKUP(A32,'Evaluación de riesgos'!$B$13:$K$160,10,0)</f>
        <v>Mantenimiento del control</v>
      </c>
      <c r="G32" s="87">
        <f>+VLOOKUP(A32,'Evaluación de riesgos'!$B$13:$O$160,13,0)</f>
        <v>142.3896</v>
      </c>
      <c r="H32" s="89">
        <f t="shared" si="2"/>
        <v>34</v>
      </c>
      <c r="I32" s="87" t="str">
        <f t="shared" si="0"/>
        <v>Cuando en el análisis de los requerimientos en los diferenes componentes del MECI se cuente con aspectos evaluados en nivel 2 (presente) y 3 (funcionando).</v>
      </c>
      <c r="J32" s="87" t="s">
        <v>637</v>
      </c>
      <c r="K32" s="87">
        <f>+IF(ISBLANK(VLOOKUP(A32,'Evaluación de riesgos'!$B$16:$F$160,5,0)),"",VLOOKUP(A32,'Evaluación de riesgos'!$B$16:$F$160,5,0))</f>
        <v>3</v>
      </c>
      <c r="L32" s="87">
        <f>+IF(ISBLANK(VLOOKUP(A32,'Evaluación de riesgos'!$B$16:$J$160,9,9)),"",VLOOKUP(A32,'Evaluación de riesgos'!$B$16:$J$160,9,9))</f>
        <v>3</v>
      </c>
      <c r="M32" s="87">
        <f t="shared" si="4"/>
        <v>1</v>
      </c>
      <c r="N32" s="87">
        <f t="shared" si="3"/>
        <v>0.91176470588235292</v>
      </c>
      <c r="O32" s="87"/>
      <c r="P32" s="87"/>
    </row>
    <row r="33" spans="1:16">
      <c r="A33" s="87" t="s">
        <v>641</v>
      </c>
      <c r="B33" s="87" t="str">
        <f t="shared" si="1"/>
        <v>7</v>
      </c>
      <c r="C33" s="87" t="str">
        <f>+MID(VLOOKUP(A33,'Evaluación de riesgos'!$B$13:$C$160,2,0),4,LEN(VLOOKUP(A33,'Evaluación de riesgos'!$B$13:$C$160,2,0))-4)</f>
        <v xml:space="preserve"> Se llevan a cabo seguimientos a las acciones definidas para resolver materializaciones de riesgo detectadas</v>
      </c>
      <c r="D33" s="87" t="s">
        <v>585</v>
      </c>
      <c r="E33" s="87" t="str">
        <f>+VLOOKUP(A33,'Evaluación de riesgos'!$B$13:$K$160,3,0)</f>
        <v>Dimensión de Evaluación de Resultados 
Política de Seguimiento y evaluación al Desempeño Institucional.
Dimensión Control Interno 
Líneas de Defensa</v>
      </c>
      <c r="F33" s="87" t="str">
        <f>+VLOOKUP(A33,'Evaluación de riesgos'!$B$13:$K$160,10,0)</f>
        <v>Mantenimiento del control</v>
      </c>
      <c r="G33" s="87">
        <f>+VLOOKUP(A33,'Evaluación de riesgos'!$B$13:$O$160,13,0)</f>
        <v>142.4563</v>
      </c>
      <c r="H33" s="89">
        <f t="shared" si="2"/>
        <v>35</v>
      </c>
      <c r="I33" s="87" t="str">
        <f t="shared" si="0"/>
        <v>Cuando en el análisis de los requerimientos en los diferenes componentes del MECI se cuente con aspectos evaluados en nivel 2 (presente) y 3 (funcionando).</v>
      </c>
      <c r="J33" s="87" t="s">
        <v>637</v>
      </c>
      <c r="K33" s="87">
        <f>+IF(ISBLANK(VLOOKUP(A33,'Evaluación de riesgos'!$B$16:$F$160,5,0)),"",VLOOKUP(A33,'Evaluación de riesgos'!$B$16:$F$160,5,0))</f>
        <v>3</v>
      </c>
      <c r="L33" s="87">
        <f>+IF(ISBLANK(VLOOKUP(A33,'Evaluación de riesgos'!$B$16:$J$160,9,9)),"",VLOOKUP(A33,'Evaluación de riesgos'!$B$16:$J$160,9,9))</f>
        <v>3</v>
      </c>
      <c r="M33" s="87">
        <f t="shared" si="4"/>
        <v>1</v>
      </c>
      <c r="N33" s="87">
        <f t="shared" si="3"/>
        <v>0.91176470588235292</v>
      </c>
      <c r="O33" s="87"/>
      <c r="P33" s="87"/>
    </row>
    <row r="34" spans="1:16">
      <c r="A34" s="87" t="s">
        <v>642</v>
      </c>
      <c r="B34" s="87" t="str">
        <f t="shared" si="1"/>
        <v>8</v>
      </c>
      <c r="C34" s="87" t="str">
        <f>+MID(VLOOKUP(A34,'Evaluación de riesgos'!$B$13:$C$160,2,0),4,LEN(VLOOKUP(A34,'Evaluación de riesgos'!$B$13:$C$160,2,0))-4)</f>
        <v xml:space="preserve"> La Alta Dirección acorde con el análisis del entorno interno y externo, define los procesos, programas o proyectos (según aplique), susceptibles de posibles actos de corrupción</v>
      </c>
      <c r="D34" s="87" t="s">
        <v>585</v>
      </c>
      <c r="E34" s="87" t="str">
        <f>+VLOOKUP(A34,'Evaluación de riesgos'!$B$13:$K$160,3,0)</f>
        <v>Dimensión de Direccionamiento Estratégico y Planeación.
Política de Planeación Institucional</v>
      </c>
      <c r="F34" s="87" t="str">
        <f>+VLOOKUP(A34,'Evaluación de riesgos'!$B$13:$K$160,10,0)</f>
        <v>Deficiencia de control (diseño o ejecución)</v>
      </c>
      <c r="G34" s="87">
        <f>+VLOOKUP(A34,'Evaluación de riesgos'!$B$13:$O$160,13,0)</f>
        <v>102.5458</v>
      </c>
      <c r="H34" s="89">
        <f t="shared" si="2"/>
        <v>25</v>
      </c>
      <c r="I34" s="87" t="str">
        <f t="shared" ref="I34:I65" si="5">+IF(F34=$F$2,$P$4,IF(F34=$F$3,$P$2,$P$3))</f>
        <v>Cuando en el análisis de los requerimientos en los diferenes componentes del MECI se cuente con aspectos evaluados en nivel 1 (presente) y 1 (funcionando); 2 (presente) y 1 (funcionando).</v>
      </c>
      <c r="J34" s="87" t="s">
        <v>643</v>
      </c>
      <c r="K34" s="87">
        <f>+IF(ISBLANK(VLOOKUP(A34,'Evaluación de riesgos'!$B$16:$F$160,5,0)),"",VLOOKUP(A34,'Evaluación de riesgos'!$B$16:$F$160,5,0))</f>
        <v>3</v>
      </c>
      <c r="L34" s="87">
        <f>+IF(ISBLANK(VLOOKUP(A34,'Evaluación de riesgos'!$B$16:$J$160,9,9)),"",VLOOKUP(A34,'Evaluación de riesgos'!$B$16:$J$160,9,9))</f>
        <v>2</v>
      </c>
      <c r="M34" s="87">
        <f t="shared" si="4"/>
        <v>0.5</v>
      </c>
      <c r="N34" s="87">
        <f t="shared" si="3"/>
        <v>0.91176470588235292</v>
      </c>
      <c r="O34" s="87"/>
      <c r="P34" s="87"/>
    </row>
    <row r="35" spans="1:16">
      <c r="A35" s="87" t="s">
        <v>644</v>
      </c>
      <c r="B35" s="87" t="str">
        <f t="shared" si="1"/>
        <v>8</v>
      </c>
      <c r="C35" s="87" t="str">
        <f>+MID(VLOOKUP(A35,'Evaluación de riesgos'!$B$13:$C$160,2,0),4,LEN(VLOOKUP(A35,'Evaluación de riesgos'!$B$13:$C$160,2,0))-4)</f>
        <v xml:space="preserve"> La Alta Dirección monitorea los riesgos de corrupción con la periodicidad establecida en la Política de Administración del Riesgo</v>
      </c>
      <c r="D35" s="87" t="s">
        <v>585</v>
      </c>
      <c r="E35" s="87" t="str">
        <f>+VLOOKUP(A35,'Evaluación de riesgos'!$B$13:$K$160,3,0)</f>
        <v>Dimensión de Control Interno
Línea Estratégica</v>
      </c>
      <c r="F35" s="87" t="str">
        <f>+VLOOKUP(A35,'Evaluación de riesgos'!$B$13:$K$160,10,0)</f>
        <v>Deficiencia de control (diseño o ejecución)</v>
      </c>
      <c r="G35" s="87">
        <f>+VLOOKUP(A35,'Evaluación de riesgos'!$B$13:$O$160,13,0)</f>
        <v>102.63209999999999</v>
      </c>
      <c r="H35" s="89">
        <f t="shared" si="2"/>
        <v>26</v>
      </c>
      <c r="I35" s="87" t="str">
        <f t="shared" si="5"/>
        <v>Cuando en el análisis de los requerimientos en los diferenes componentes del MECI se cuente con aspectos evaluados en nivel 1 (presente) y 1 (funcionando); 2 (presente) y 1 (funcionando).</v>
      </c>
      <c r="J35" s="87" t="s">
        <v>643</v>
      </c>
      <c r="K35" s="87">
        <f>+IF(ISBLANK(VLOOKUP(A35,'Evaluación de riesgos'!$B$16:$F$160,5,0)),"",VLOOKUP(A35,'Evaluación de riesgos'!$B$16:$F$160,5,0))</f>
        <v>3</v>
      </c>
      <c r="L35" s="87">
        <f>+IF(ISBLANK(VLOOKUP(A35,'Evaluación de riesgos'!$B$16:$J$160,9,9)),"",VLOOKUP(A35,'Evaluación de riesgos'!$B$16:$J$160,9,9))</f>
        <v>2</v>
      </c>
      <c r="M35" s="87">
        <f t="shared" si="4"/>
        <v>0.5</v>
      </c>
      <c r="N35" s="87">
        <f t="shared" si="3"/>
        <v>0.91176470588235292</v>
      </c>
      <c r="O35" s="87"/>
      <c r="P35" s="87"/>
    </row>
    <row r="36" spans="1:16">
      <c r="A36" s="87" t="s">
        <v>645</v>
      </c>
      <c r="B36" s="87" t="str">
        <f t="shared" si="1"/>
        <v>8</v>
      </c>
      <c r="C36" s="87" t="str">
        <f>+MID(VLOOKUP(A36,'Evaluación de riesgos'!$B$13:$C$160,2,0),4,LEN(VLOOKUP(A36,'Evaluación de riesgos'!$B$13:$C$160,2,0))-4)</f>
        <v xml:space="preserve"> Para el desarrollo de las actividades de control, la entidad considera la adecuada división de las funciones y que éstas se encuentren segregadas en diferentes personas para reducir el riesgo de acciones fraudulentas</v>
      </c>
      <c r="D36" s="87" t="s">
        <v>585</v>
      </c>
      <c r="E36" s="87" t="str">
        <f>+VLOOKUP(A36,'Evaluación de riesgos'!$B$13:$K$160,3,0)</f>
        <v>Dimensión de Control Interno
Líneas de Defensa</v>
      </c>
      <c r="F36" s="87" t="str">
        <f>+VLOOKUP(A36,'Evaluación de riesgos'!$B$13:$K$160,10,0)</f>
        <v>Mantenimiento del control</v>
      </c>
      <c r="G36" s="87">
        <f>+VLOOKUP(A36,'Evaluación de riesgos'!$B$13:$O$160,13,0)</f>
        <v>142.7456</v>
      </c>
      <c r="H36" s="89">
        <f t="shared" si="2"/>
        <v>36</v>
      </c>
      <c r="I36" s="87" t="str">
        <f t="shared" si="5"/>
        <v>Cuando en el análisis de los requerimientos en los diferenes componentes del MECI se cuente con aspectos evaluados en nivel 2 (presente) y 3 (funcionando).</v>
      </c>
      <c r="J36" s="87" t="s">
        <v>643</v>
      </c>
      <c r="K36" s="87">
        <f>+IF(ISBLANK(VLOOKUP(A36,'Evaluación de riesgos'!$B$16:$F$160,5,0)),"",VLOOKUP(A36,'Evaluación de riesgos'!$B$16:$F$160,5,0))</f>
        <v>3</v>
      </c>
      <c r="L36" s="87">
        <f>+IF(ISBLANK(VLOOKUP(A36,'Evaluación de riesgos'!$B$16:$J$160,9,9)),"",VLOOKUP(A36,'Evaluación de riesgos'!$B$16:$J$160,9,9))</f>
        <v>3</v>
      </c>
      <c r="M36" s="87">
        <f t="shared" si="4"/>
        <v>1</v>
      </c>
      <c r="N36" s="87">
        <f t="shared" si="3"/>
        <v>0.91176470588235292</v>
      </c>
      <c r="O36" s="87"/>
      <c r="P36" s="87"/>
    </row>
    <row r="37" spans="1:16">
      <c r="A37" s="87" t="s">
        <v>646</v>
      </c>
      <c r="B37" s="87" t="str">
        <f t="shared" si="1"/>
        <v>8</v>
      </c>
      <c r="C37" s="87" t="str">
        <f>+MID(VLOOKUP(A37,'Evaluación de riesgos'!$B$13:$C$160,2,0),4,LEN(VLOOKUP(A37,'Evaluación de riesgos'!$B$13:$C$160,2,0))-4)</f>
        <v xml:space="preserve"> La Alta Dirección evalúa fallas en los controles (diseño y ejecución) para definir cursos de acción apropiados para su mejora</v>
      </c>
      <c r="D37" s="87" t="s">
        <v>585</v>
      </c>
      <c r="E37" s="87" t="str">
        <f>+VLOOKUP(A37,'Evaluación de riesgos'!$B$13:$K$160,3,0)</f>
        <v>Dimensión de Control Interno
Línea Estratégica</v>
      </c>
      <c r="F37" s="87" t="str">
        <f>+VLOOKUP(A37,'Evaluación de riesgos'!$B$13:$K$160,10,0)</f>
        <v>Deficiencia de control (diseño o ejecución)</v>
      </c>
      <c r="G37" s="87">
        <f>+VLOOKUP(A37,'Evaluación de riesgos'!$B$13:$O$160,13,0)</f>
        <v>102.8745</v>
      </c>
      <c r="H37" s="89">
        <f t="shared" si="2"/>
        <v>27</v>
      </c>
      <c r="I37" s="87" t="str">
        <f t="shared" si="5"/>
        <v>Cuando en el análisis de los requerimientos en los diferenes componentes del MECI se cuente con aspectos evaluados en nivel 1 (presente) y 1 (funcionando); 2 (presente) y 1 (funcionando).</v>
      </c>
      <c r="J37" s="87" t="s">
        <v>643</v>
      </c>
      <c r="K37" s="87">
        <f>+IF(ISBLANK(VLOOKUP(A37,'Evaluación de riesgos'!$B$16:$F$160,5,0)),"",VLOOKUP(A37,'Evaluación de riesgos'!$B$16:$F$160,5,0))</f>
        <v>3</v>
      </c>
      <c r="L37" s="87">
        <f>+IF(ISBLANK(VLOOKUP(A37,'Evaluación de riesgos'!$B$16:$J$160,9,9)),"",VLOOKUP(A37,'Evaluación de riesgos'!$B$16:$J$160,9,9))</f>
        <v>2</v>
      </c>
      <c r="M37" s="87">
        <f t="shared" si="4"/>
        <v>0.5</v>
      </c>
      <c r="N37" s="87">
        <f t="shared" si="3"/>
        <v>0.91176470588235292</v>
      </c>
      <c r="O37" s="87"/>
      <c r="P37" s="87"/>
    </row>
    <row r="38" spans="1:16">
      <c r="A38" s="87" t="s">
        <v>647</v>
      </c>
      <c r="B38" s="87" t="str">
        <f t="shared" si="1"/>
        <v>9</v>
      </c>
      <c r="C38" s="87" t="str">
        <f>+MID(VLOOKUP(A38,'Evaluación de riesgos'!$B$13:$C$160,2,0),4,LEN(VLOOKUP(A38,'Evaluación de riesgos'!$B$13:$C$160,2,0))-4)</f>
        <v xml:space="preserve"> Acorde con lo establecido en la política de Administración del Riesgo, se monitorean los factores internos y externos definidos para la entidad, a fin de establecer cambios en el entorno que determinen nuevos riesgos o ajustes a los existentes</v>
      </c>
      <c r="D38" s="87" t="s">
        <v>585</v>
      </c>
      <c r="E38" s="87" t="str">
        <f>+VLOOKUP(A38,'Evaluación de riesgos'!$B$13:$K$160,3,0)</f>
        <v>Dimensión de Direccionamiento Estratégico 
Política de Planeación Institucional</v>
      </c>
      <c r="F38" s="87" t="str">
        <f>+VLOOKUP(A38,'Evaluación de riesgos'!$B$13:$K$160,10,0)</f>
        <v>Mantenimiento del control</v>
      </c>
      <c r="G38" s="87">
        <f>+VLOOKUP(A38,'Evaluación de riesgos'!$B$13:$O$160,13,0)</f>
        <v>142.96350000000001</v>
      </c>
      <c r="H38" s="89">
        <f t="shared" si="2"/>
        <v>37</v>
      </c>
      <c r="I38" s="87" t="str">
        <f t="shared" si="5"/>
        <v>Cuando en el análisis de los requerimientos en los diferenes componentes del MECI se cuente con aspectos evaluados en nivel 2 (presente) y 3 (funcionando).</v>
      </c>
      <c r="J38" s="87" t="s">
        <v>648</v>
      </c>
      <c r="K38" s="87">
        <f>+IF(ISBLANK(VLOOKUP(A38,'Evaluación de riesgos'!$B$16:$F$160,5,0)),"",VLOOKUP(A38,'Evaluación de riesgos'!$B$16:$F$160,5,0))</f>
        <v>3</v>
      </c>
      <c r="L38" s="87">
        <f>+IF(ISBLANK(VLOOKUP(A38,'Evaluación de riesgos'!$B$16:$J$160,9,9)),"",VLOOKUP(A38,'Evaluación de riesgos'!$B$16:$J$160,9,9))</f>
        <v>3</v>
      </c>
      <c r="M38" s="87">
        <f t="shared" si="4"/>
        <v>1</v>
      </c>
      <c r="N38" s="87">
        <f t="shared" si="3"/>
        <v>0.91176470588235292</v>
      </c>
      <c r="O38" s="87"/>
      <c r="P38" s="87"/>
    </row>
    <row r="39" spans="1:16">
      <c r="A39" s="87" t="s">
        <v>649</v>
      </c>
      <c r="B39" s="87" t="str">
        <f t="shared" si="1"/>
        <v>9</v>
      </c>
      <c r="C39" s="87" t="str">
        <f>+MID(VLOOKUP(A39,'Evaluación de riesgos'!$B$13:$C$160,2,0),4,LEN(VLOOKUP(A39,'Evaluación de riesgos'!$B$13:$C$160,2,0))-4)</f>
        <v xml:space="preserve"> La Alta Dirección analiza los riesgos asociados a actividades tercerizadas, regionales u otras figuras externas que afecten la prestación del servicio a los usuarios, basados en los informes de la segunda y tercera línea de defensa</v>
      </c>
      <c r="D39" s="87" t="s">
        <v>585</v>
      </c>
      <c r="E39" s="87" t="str">
        <f>+VLOOKUP(A39,'Evaluación de riesgos'!$B$13:$K$160,3,0)</f>
        <v>Dimensión de Control Interno
Líneas de Defensa</v>
      </c>
      <c r="F39" s="87" t="str">
        <f>+VLOOKUP(A39,'Evaluación de riesgos'!$B$13:$K$160,10,0)</f>
        <v>Mantenimiento del control</v>
      </c>
      <c r="G39" s="87">
        <f>+VLOOKUP(A39,'Evaluación de riesgos'!$B$13:$O$160,13,0)</f>
        <v>143.01249999999999</v>
      </c>
      <c r="H39" s="89">
        <f t="shared" si="2"/>
        <v>38</v>
      </c>
      <c r="I39" s="87" t="str">
        <f t="shared" si="5"/>
        <v>Cuando en el análisis de los requerimientos en los diferenes componentes del MECI se cuente con aspectos evaluados en nivel 2 (presente) y 3 (funcionando).</v>
      </c>
      <c r="J39" s="87" t="s">
        <v>648</v>
      </c>
      <c r="K39" s="87">
        <f>+IF(ISBLANK(VLOOKUP(A39,'Evaluación de riesgos'!$B$16:$F$160,5,0)),"",VLOOKUP(A39,'Evaluación de riesgos'!$B$16:$F$160,5,0))</f>
        <v>3</v>
      </c>
      <c r="L39" s="87">
        <f>+IF(ISBLANK(VLOOKUP(A39,'Evaluación de riesgos'!$B$16:$J$160,9,9)),"",VLOOKUP(A39,'Evaluación de riesgos'!$B$16:$J$160,9,9))</f>
        <v>3</v>
      </c>
      <c r="M39" s="87">
        <f t="shared" si="4"/>
        <v>1</v>
      </c>
      <c r="N39" s="87">
        <f t="shared" si="3"/>
        <v>0.91176470588235292</v>
      </c>
      <c r="O39" s="87"/>
      <c r="P39" s="87"/>
    </row>
    <row r="40" spans="1:16">
      <c r="A40" s="87" t="s">
        <v>650</v>
      </c>
      <c r="B40" s="87" t="str">
        <f t="shared" si="1"/>
        <v>9</v>
      </c>
      <c r="C40" s="87" t="str">
        <f>+MID(VLOOKUP(A40,'Evaluación de riesgos'!$B$13:$C$160,2,0),4,LEN(VLOOKUP(A40,'Evaluación de riesgos'!$B$13:$C$160,2,0))-4)</f>
        <v xml:space="preserve"> La Alta Dirección monitorea los riesgos aceptados revisando que sus condiciones no hayan cambiado y definir su pertinencia para sostenerlos o ajustarlos</v>
      </c>
      <c r="D40" s="87" t="s">
        <v>585</v>
      </c>
      <c r="E40" s="87" t="str">
        <f>+VLOOKUP(A40,'Evaluación de riesgos'!$B$13:$K$160,3,0)</f>
        <v>Dimensión de Control Interno
Línea Estratégica</v>
      </c>
      <c r="F40" s="87" t="str">
        <f>+VLOOKUP(A40,'Evaluación de riesgos'!$B$13:$K$160,10,0)</f>
        <v>Mantenimiento del control</v>
      </c>
      <c r="G40" s="87">
        <f>+VLOOKUP(A40,'Evaluación de riesgos'!$B$13:$O$160,13,0)</f>
        <v>143.12360000000001</v>
      </c>
      <c r="H40" s="89">
        <f t="shared" si="2"/>
        <v>39</v>
      </c>
      <c r="I40" s="87" t="str">
        <f t="shared" si="5"/>
        <v>Cuando en el análisis de los requerimientos en los diferenes componentes del MECI se cuente con aspectos evaluados en nivel 2 (presente) y 3 (funcionando).</v>
      </c>
      <c r="J40" s="87" t="s">
        <v>648</v>
      </c>
      <c r="K40" s="87">
        <f>+IF(ISBLANK(VLOOKUP(A40,'Evaluación de riesgos'!$B$16:$F$160,5,0)),"",VLOOKUP(A40,'Evaluación de riesgos'!$B$16:$F$160,5,0))</f>
        <v>3</v>
      </c>
      <c r="L40" s="87">
        <f>+IF(ISBLANK(VLOOKUP(A40,'Evaluación de riesgos'!$B$16:$J$160,9,9)),"",VLOOKUP(A40,'Evaluación de riesgos'!$B$16:$J$160,9,9))</f>
        <v>3</v>
      </c>
      <c r="M40" s="87">
        <f t="shared" si="4"/>
        <v>1</v>
      </c>
      <c r="N40" s="87">
        <f t="shared" si="3"/>
        <v>0.91176470588235292</v>
      </c>
      <c r="O40" s="87"/>
      <c r="P40" s="87"/>
    </row>
    <row r="41" spans="1:16">
      <c r="A41" s="87" t="s">
        <v>651</v>
      </c>
      <c r="B41" s="87" t="str">
        <f t="shared" si="1"/>
        <v>9</v>
      </c>
      <c r="C41" s="87" t="str">
        <f>+MID(VLOOKUP(A41,'Evaluación de riesgos'!$B$13:$C$160,2,0),4,LEN(VLOOKUP(A41,'Evaluación de riesgos'!$B$13:$C$160,2,0))-4)</f>
        <v xml:space="preserve"> La Alta Dirección evalúa fallas en los controles (diseño y ejecución) para definir cursos de acción apropiados para su mejora, basados en los informes de la segunda y tercera línea de defensa</v>
      </c>
      <c r="D41" s="87" t="s">
        <v>585</v>
      </c>
      <c r="E41" s="87" t="str">
        <f>+VLOOKUP(A41,'Evaluación de riesgos'!$B$13:$K$160,3,0)</f>
        <v>Dimensión de Control Interno
Líneas de Defensa</v>
      </c>
      <c r="F41" s="87" t="str">
        <f>+VLOOKUP(A41,'Evaluación de riesgos'!$B$13:$K$160,10,0)</f>
        <v>Mantenimiento del control</v>
      </c>
      <c r="G41" s="87">
        <f>+VLOOKUP(A41,'Evaluación de riesgos'!$B$13:$O$160,13,0)</f>
        <v>143.2456</v>
      </c>
      <c r="H41" s="89">
        <f t="shared" si="2"/>
        <v>40</v>
      </c>
      <c r="I41" s="87" t="str">
        <f t="shared" si="5"/>
        <v>Cuando en el análisis de los requerimientos en los diferenes componentes del MECI se cuente con aspectos evaluados en nivel 2 (presente) y 3 (funcionando).</v>
      </c>
      <c r="J41" s="87" t="s">
        <v>648</v>
      </c>
      <c r="K41" s="87">
        <f>+IF(ISBLANK(VLOOKUP(A41,'Evaluación de riesgos'!$B$16:$F$160,5,0)),"",VLOOKUP(A41,'Evaluación de riesgos'!$B$16:$F$160,5,0))</f>
        <v>3</v>
      </c>
      <c r="L41" s="87">
        <f>+IF(ISBLANK(VLOOKUP(A41,'Evaluación de riesgos'!$B$16:$J$160,9,9)),"",VLOOKUP(A41,'Evaluación de riesgos'!$B$16:$J$160,9,9))</f>
        <v>3</v>
      </c>
      <c r="M41" s="87">
        <f t="shared" si="4"/>
        <v>1</v>
      </c>
      <c r="N41" s="87">
        <f t="shared" si="3"/>
        <v>0.91176470588235292</v>
      </c>
      <c r="O41" s="87"/>
      <c r="P41" s="87"/>
    </row>
    <row r="42" spans="1:16">
      <c r="A42" s="87" t="s">
        <v>652</v>
      </c>
      <c r="B42" s="87" t="str">
        <f t="shared" si="1"/>
        <v>9</v>
      </c>
      <c r="C42" s="87" t="str">
        <f>+MID(VLOOKUP(A42,'Evaluación de riesgos'!$B$13:$C$160,2,0),4,LEN(VLOOKUP(A42,'Evaluación de riesgos'!$B$13:$C$160,2,0))-4)</f>
        <v xml:space="preserve"> La entidad analiza el impacto sobre el control interno por cambios en los diferentes niveles organizacionales.</v>
      </c>
      <c r="D42" s="87" t="s">
        <v>585</v>
      </c>
      <c r="E42" s="87" t="str">
        <f>+VLOOKUP(A42,'Evaluación de riesgos'!$B$13:$K$160,3,0)</f>
        <v>Dimensión de Direccionamiento Estratégico y Planeación
Política de Planeación Institucional
Dimensión de Control Interno
Línea Estratégica</v>
      </c>
      <c r="F42" s="87" t="str">
        <f>+VLOOKUP(A42,'Evaluación de riesgos'!$B$13:$K$160,10,0)</f>
        <v>Mantenimiento del control</v>
      </c>
      <c r="G42" s="87">
        <f>+VLOOKUP(A42,'Evaluación de riesgos'!$B$13:$O$160,13,0)</f>
        <v>143.36539999999999</v>
      </c>
      <c r="H42" s="89">
        <f t="shared" si="2"/>
        <v>41</v>
      </c>
      <c r="I42" s="87" t="str">
        <f t="shared" si="5"/>
        <v>Cuando en el análisis de los requerimientos en los diferenes componentes del MECI se cuente con aspectos evaluados en nivel 2 (presente) y 3 (funcionando).</v>
      </c>
      <c r="J42" s="87" t="s">
        <v>648</v>
      </c>
      <c r="K42" s="87">
        <f>+IF(ISBLANK(VLOOKUP(A42,'Evaluación de riesgos'!$B$16:$F$160,5,0)),"",VLOOKUP(A42,'Evaluación de riesgos'!$B$16:$F$160,5,0))</f>
        <v>3</v>
      </c>
      <c r="L42" s="87">
        <f>+IF(ISBLANK(VLOOKUP(A42,'Evaluación de riesgos'!$B$16:$J$160,9,9)),"",VLOOKUP(A42,'Evaluación de riesgos'!$B$16:$J$160,9,9))</f>
        <v>3</v>
      </c>
      <c r="M42" s="87">
        <f t="shared" si="4"/>
        <v>1</v>
      </c>
      <c r="N42" s="87">
        <f t="shared" si="3"/>
        <v>0.91176470588235292</v>
      </c>
      <c r="O42" s="87"/>
      <c r="P42" s="87"/>
    </row>
    <row r="43" spans="1:16">
      <c r="A43" s="87" t="s">
        <v>653</v>
      </c>
      <c r="B43" s="87" t="str">
        <f>+LEFT(A43,2)</f>
        <v>10</v>
      </c>
      <c r="C43" s="87" t="str">
        <f>+MID(VLOOKUP(A43,'Actividades de control'!$B$13:$C$176,2,0),5,LEN(VLOOKUP(A43,'Actividades de control'!$B$13:$C$176,2,0))-5)</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D43" s="87" t="s">
        <v>586</v>
      </c>
      <c r="E43" s="87" t="str">
        <f>+VLOOKUP(A43,'Actividades de control'!$B$18:$K$122,3,0)</f>
        <v>Dimensión de Control Interno
Líneas de Defensa</v>
      </c>
      <c r="F43" s="87" t="str">
        <f>+VLOOKUP(A43,'Actividades de control'!$B$18:$K$122,10,0)</f>
        <v>Mantenimiento del control</v>
      </c>
      <c r="G43" s="87">
        <f>+VLOOKUP(A43,'Actividades de control'!$B$13:$N$176,13,0)</f>
        <v>223.45689999999999</v>
      </c>
      <c r="H43" s="89">
        <f t="shared" si="2"/>
        <v>45</v>
      </c>
      <c r="I43" s="87" t="str">
        <f t="shared" si="5"/>
        <v>Cuando en el análisis de los requerimientos en los diferenes componentes del MECI se cuente con aspectos evaluados en nivel 2 (presente) y 3 (funcionando).</v>
      </c>
      <c r="J43" s="87" t="s">
        <v>654</v>
      </c>
      <c r="K43" s="87">
        <f>+IF(ISBLANK(VLOOKUP(A43,'Actividades de control'!$B$21:$F$122,5,0)),"",VLOOKUP(A43,'Actividades de control'!$B$21:$F$122,5,0))</f>
        <v>3</v>
      </c>
      <c r="L43" s="87">
        <f>+IF(ISBLANK(VLOOKUP(A43,'Actividades de control'!$B$21:$J$122,9,0)),"",VLOOKUP(A43,'Actividades de control'!$B$21:$J$122,9,0))</f>
        <v>3</v>
      </c>
      <c r="M43" s="87">
        <f t="shared" si="4"/>
        <v>1</v>
      </c>
      <c r="N43" s="87">
        <f t="shared" si="3"/>
        <v>0.875</v>
      </c>
      <c r="O43" s="87"/>
      <c r="P43" s="87"/>
    </row>
    <row r="44" spans="1:16">
      <c r="A44" s="87" t="s">
        <v>655</v>
      </c>
      <c r="B44" s="87" t="str">
        <f t="shared" ref="B44:B82" si="6">+LEFT(A44,2)</f>
        <v>10</v>
      </c>
      <c r="C44" s="87" t="str">
        <f>+MID(VLOOKUP(A44,'Actividades de control'!$B$13:$C$176,2,0),5,LEN(VLOOKUP(A44,'Actividades de control'!$B$13:$C$176,2,0))-5)</f>
        <v xml:space="preserve"> Se han identificado y documentado las situaciones específicas en donde no es posible segregar adecuadamente las funciones (ej.: falta de personal, presupuesto), con el fin de definir actividades de control alternativas para cubrir los riesgos identificados.</v>
      </c>
      <c r="D44" s="87" t="s">
        <v>586</v>
      </c>
      <c r="E44" s="87" t="str">
        <f>+VLOOKUP(A44,'Actividades de control'!$B$18:$K$122,3,0)</f>
        <v>Dimensión de Control Interno
Líneas de Defensa</v>
      </c>
      <c r="F44" s="87" t="str">
        <f>+VLOOKUP(A44,'Actividades de control'!$B$18:$K$122,10,0)</f>
        <v>Mantenimiento del control</v>
      </c>
      <c r="G44" s="87">
        <f>+VLOOKUP(A44,'Actividades de control'!$B$13:$N$176,13,0)</f>
        <v>223.5478</v>
      </c>
      <c r="H44" s="89">
        <f t="shared" si="2"/>
        <v>46</v>
      </c>
      <c r="I44" s="87" t="str">
        <f t="shared" si="5"/>
        <v>Cuando en el análisis de los requerimientos en los diferenes componentes del MECI se cuente con aspectos evaluados en nivel 2 (presente) y 3 (funcionando).</v>
      </c>
      <c r="J44" s="87" t="s">
        <v>654</v>
      </c>
      <c r="K44" s="87">
        <f>+IF(ISBLANK(VLOOKUP(A44,'Actividades de control'!$B$21:$F$122,5,0)),"",VLOOKUP(A44,'Actividades de control'!$B$21:$F$122,5,0))</f>
        <v>3</v>
      </c>
      <c r="L44" s="87">
        <f>+IF(ISBLANK(VLOOKUP(A44,'Actividades de control'!$B$21:$J$122,9,0)),"",VLOOKUP(A44,'Actividades de control'!$B$21:$J$122,9,0))</f>
        <v>3</v>
      </c>
      <c r="M44" s="87">
        <f t="shared" si="4"/>
        <v>1</v>
      </c>
      <c r="N44" s="87">
        <f t="shared" si="3"/>
        <v>0.875</v>
      </c>
      <c r="O44" s="87"/>
      <c r="P44" s="87"/>
    </row>
    <row r="45" spans="1:16">
      <c r="A45" s="87" t="s">
        <v>656</v>
      </c>
      <c r="B45" s="87" t="str">
        <f t="shared" si="6"/>
        <v>10</v>
      </c>
      <c r="C45" s="87" t="str">
        <f>+MID(VLOOKUP(A45,'Actividades de control'!$B$13:$C$176,2,0),5,LEN(VLOOKUP(A45,'Actividades de control'!$B$13:$C$176,2,0))-5)</f>
        <v xml:space="preserve"> El diseño de otros  sistemas de gestión (bajo normas o estándares internacionales como la ISO), se entregan de forma adecuada a la estructura de control de la entidad</v>
      </c>
      <c r="D45" s="87" t="s">
        <v>586</v>
      </c>
      <c r="E45" s="87" t="str">
        <f>+VLOOKUP(A45,'Actividades de control'!$B$18:$K$122,3,0)</f>
        <v xml:space="preserve">
Dimensión de Gestión con Valores para Resultados
Dimensión de Control Interno
Líneas de Defensa</v>
      </c>
      <c r="F45" s="87" t="str">
        <f>+VLOOKUP(A45,'Actividades de control'!$B$18:$K$122,10,0)</f>
        <v>Mantenimiento del control</v>
      </c>
      <c r="G45" s="87">
        <f>+VLOOKUP(A45,'Actividades de control'!$B$13:$N$176,13,0)</f>
        <v>223.64580000000001</v>
      </c>
      <c r="H45" s="89">
        <f t="shared" si="2"/>
        <v>47</v>
      </c>
      <c r="I45" s="87" t="str">
        <f t="shared" si="5"/>
        <v>Cuando en el análisis de los requerimientos en los diferenes componentes del MECI se cuente con aspectos evaluados en nivel 2 (presente) y 3 (funcionando).</v>
      </c>
      <c r="J45" s="87" t="s">
        <v>654</v>
      </c>
      <c r="K45" s="87">
        <f>+IF(ISBLANK(VLOOKUP(A45,'Actividades de control'!$B$21:$F$122,5,0)),"",VLOOKUP(A45,'Actividades de control'!$B$21:$F$122,5,0))</f>
        <v>3</v>
      </c>
      <c r="L45" s="87">
        <f>+IF(ISBLANK(VLOOKUP(A45,'Actividades de control'!$B$21:$J$122,9,0)),"",VLOOKUP(A45,'Actividades de control'!$B$21:$J$122,9,0))</f>
        <v>3</v>
      </c>
      <c r="M45" s="87">
        <f t="shared" si="4"/>
        <v>1</v>
      </c>
      <c r="N45" s="87">
        <f t="shared" si="3"/>
        <v>0.875</v>
      </c>
      <c r="O45" s="87"/>
      <c r="P45" s="87"/>
    </row>
    <row r="46" spans="1:16">
      <c r="A46" s="87" t="s">
        <v>657</v>
      </c>
      <c r="B46" s="87" t="str">
        <f t="shared" si="6"/>
        <v>11</v>
      </c>
      <c r="C46" s="87" t="str">
        <f>+MID(VLOOKUP(A46,'Actividades de control'!$B$13:$C$176,2,0),5,LEN(VLOOKUP(A46,'Actividades de control'!$B$13:$C$176,2,0))-5)</f>
        <v xml:space="preserve"> La entidad establece actividades de control relevantes sobre las infraestructuras tecnológicas; los procesos de gestión de la seguridad y sobre los procesos de adquisición, desarrollo y mantenimiento de tecnologías</v>
      </c>
      <c r="D46" s="87" t="s">
        <v>586</v>
      </c>
      <c r="E46" s="87" t="str">
        <f>+VLOOKUP(A46,'Actividades de control'!$B$18:$K$122,3,0)</f>
        <v xml:space="preserve">Dimensión de Gestión con Valores para el Resultado
Política de Gobierno Digital 
Política de Seguridad Digital
</v>
      </c>
      <c r="F46" s="87" t="str">
        <f>+VLOOKUP(A46,'Actividades de control'!$B$18:$K$122,10,0)</f>
        <v>Mantenimiento del control</v>
      </c>
      <c r="G46" s="87">
        <f>+VLOOKUP(A46,'Actividades de control'!$B$13:$N$176,13,0)</f>
        <v>223.78960000000001</v>
      </c>
      <c r="H46" s="89">
        <f t="shared" si="2"/>
        <v>48</v>
      </c>
      <c r="I46" s="87" t="str">
        <f t="shared" si="5"/>
        <v>Cuando en el análisis de los requerimientos en los diferenes componentes del MECI se cuente con aspectos evaluados en nivel 2 (presente) y 3 (funcionando).</v>
      </c>
      <c r="J46" s="87" t="s">
        <v>658</v>
      </c>
      <c r="K46" s="87">
        <f>+IF(ISBLANK(VLOOKUP(A46,'Actividades de control'!$B$21:$F$122,5,0)),"",VLOOKUP(A46,'Actividades de control'!$B$21:$F$122,5,0))</f>
        <v>3</v>
      </c>
      <c r="L46" s="87">
        <f>+IF(ISBLANK(VLOOKUP(A46,'Actividades de control'!$B$21:$J$122,9,0)),"",VLOOKUP(A46,'Actividades de control'!$B$21:$J$122,9,0))</f>
        <v>3</v>
      </c>
      <c r="M46" s="87">
        <f t="shared" si="4"/>
        <v>1</v>
      </c>
      <c r="N46" s="87">
        <f t="shared" si="3"/>
        <v>0.875</v>
      </c>
      <c r="O46" s="87"/>
      <c r="P46" s="87"/>
    </row>
    <row r="47" spans="1:16">
      <c r="A47" s="87" t="s">
        <v>659</v>
      </c>
      <c r="B47" s="87" t="str">
        <f t="shared" si="6"/>
        <v>11</v>
      </c>
      <c r="C47" s="87" t="str">
        <f>+MID(VLOOKUP(A47,'Actividades de control'!$B$13:$C$176,2,0),5,LEN(VLOOKUP(A47,'Actividades de control'!$B$13:$C$176,2,0))-5)</f>
        <v xml:space="preserve">  Para los proveedores de tecnología  selecciona y desarrolla actividades de control internas sobre las actividades realizadas por el proveedor de servicios</v>
      </c>
      <c r="D47" s="87" t="s">
        <v>586</v>
      </c>
      <c r="E47" s="87" t="str">
        <f>+VLOOKUP(A47,'Actividades de control'!$B$18:$K$122,3,0)</f>
        <v xml:space="preserve">Dimensión de Gestión con Valores para el Resultado
Política de Gobierno Digital 
Política de Seguridad Digital
</v>
      </c>
      <c r="F47" s="87" t="str">
        <f>+VLOOKUP(A47,'Actividades de control'!$B$18:$K$122,10,0)</f>
        <v>Mantenimiento del control</v>
      </c>
      <c r="G47" s="87">
        <f>+VLOOKUP(A47,'Actividades de control'!$B$13:$N$176,13,0)</f>
        <v>223.84559999999999</v>
      </c>
      <c r="H47" s="89">
        <f t="shared" si="2"/>
        <v>49</v>
      </c>
      <c r="I47" s="87" t="str">
        <f t="shared" si="5"/>
        <v>Cuando en el análisis de los requerimientos en los diferenes componentes del MECI se cuente con aspectos evaluados en nivel 2 (presente) y 3 (funcionando).</v>
      </c>
      <c r="J47" s="87" t="s">
        <v>658</v>
      </c>
      <c r="K47" s="87">
        <f>+IF(ISBLANK(VLOOKUP(A47,'Actividades de control'!$B$21:$F$122,5,0)),"",VLOOKUP(A47,'Actividades de control'!$B$21:$F$122,5,0))</f>
        <v>3</v>
      </c>
      <c r="L47" s="87">
        <f>+IF(ISBLANK(VLOOKUP(A47,'Actividades de control'!$B$21:$J$122,9,0)),"",VLOOKUP(A47,'Actividades de control'!$B$21:$J$122,9,0))</f>
        <v>3</v>
      </c>
      <c r="M47" s="87">
        <f t="shared" si="4"/>
        <v>1</v>
      </c>
      <c r="N47" s="87">
        <f t="shared" si="3"/>
        <v>0.875</v>
      </c>
      <c r="O47" s="87"/>
      <c r="P47" s="87"/>
    </row>
    <row r="48" spans="1:16">
      <c r="A48" s="87" t="s">
        <v>660</v>
      </c>
      <c r="B48" s="87" t="str">
        <f t="shared" si="6"/>
        <v>11</v>
      </c>
      <c r="C48" s="87" t="str">
        <f>+MID(VLOOKUP(A48,'Actividades de control'!$B$13:$C$176,2,0),5,LEN(VLOOKUP(A48,'Actividades de control'!$B$13:$C$176,2,0))-5)</f>
        <v xml:space="preserve"> Se cuenta con matrices de roles y usuarios siguiendo los principios de segregación de funciones.</v>
      </c>
      <c r="D48" s="87" t="s">
        <v>586</v>
      </c>
      <c r="E48" s="87" t="str">
        <f>+VLOOKUP(A48,'Actividades de control'!$B$18:$K$122,3,0)</f>
        <v xml:space="preserve">Dimensión de Gestión con Valores para el Resultado
Política de Fortalecimiento Organizacional y Simplificación de Procesos.
</v>
      </c>
      <c r="F48" s="87" t="str">
        <f>+VLOOKUP(A48,'Actividades de control'!$B$18:$K$122,10,0)</f>
        <v>Deficiencia de control (diseño o ejecución)</v>
      </c>
      <c r="G48" s="87">
        <f>+VLOOKUP(A48,'Actividades de control'!$B$13:$N$176,13,0)</f>
        <v>183.96539999999999</v>
      </c>
      <c r="H48" s="89">
        <f t="shared" si="2"/>
        <v>42</v>
      </c>
      <c r="I48" s="87" t="str">
        <f t="shared" si="5"/>
        <v>Cuando en el análisis de los requerimientos en los diferenes componentes del MECI se cuente con aspectos evaluados en nivel 1 (presente) y 1 (funcionando); 2 (presente) y 1 (funcionando).</v>
      </c>
      <c r="J48" s="87" t="s">
        <v>658</v>
      </c>
      <c r="K48" s="87">
        <f>+IF(ISBLANK(VLOOKUP(A48,'Actividades de control'!$B$21:$F$122,5,0)),"",VLOOKUP(A48,'Actividades de control'!$B$21:$F$122,5,0))</f>
        <v>3</v>
      </c>
      <c r="L48" s="87">
        <f>+IF(ISBLANK(VLOOKUP(A48,'Actividades de control'!$B$21:$J$122,9,0)),"",VLOOKUP(A48,'Actividades de control'!$B$21:$J$122,9,0))</f>
        <v>2</v>
      </c>
      <c r="M48" s="87">
        <f t="shared" si="4"/>
        <v>0.5</v>
      </c>
      <c r="N48" s="87">
        <f t="shared" si="3"/>
        <v>0.875</v>
      </c>
      <c r="O48" s="87"/>
      <c r="P48" s="87"/>
    </row>
    <row r="49" spans="1:16">
      <c r="A49" s="87" t="s">
        <v>661</v>
      </c>
      <c r="B49" s="87" t="str">
        <f t="shared" si="6"/>
        <v>11</v>
      </c>
      <c r="C49" s="87" t="str">
        <f>+MID(VLOOKUP(A49,'Actividades de control'!$B$13:$C$176,2,0),5,LEN(VLOOKUP(A49,'Actividades de control'!$B$13:$C$176,2,0))-5)</f>
        <v xml:space="preserve"> Se cuenta con información de la 3a línea de defensa, como evaluador independiente en relación con los controles implementados por el proveedor de servicios, para  asegurar que los riesgos relacionados se mitigan.</v>
      </c>
      <c r="D49" s="87" t="s">
        <v>586</v>
      </c>
      <c r="E49" s="87" t="str">
        <f>+VLOOKUP(A49,'Actividades de control'!$B$18:$K$122,3,0)</f>
        <v>Dimensión Control Interno
Tercera Línea de Defensa</v>
      </c>
      <c r="F49" s="87" t="str">
        <f>+VLOOKUP(A49,'Actividades de control'!$B$18:$K$122,10,0)</f>
        <v>Mantenimiento del control</v>
      </c>
      <c r="G49" s="87">
        <f>+VLOOKUP(A49,'Actividades de control'!$B$13:$N$176,13,0)</f>
        <v>224.01230000000001</v>
      </c>
      <c r="H49" s="89">
        <f t="shared" si="2"/>
        <v>50</v>
      </c>
      <c r="I49" s="87" t="str">
        <f t="shared" si="5"/>
        <v>Cuando en el análisis de los requerimientos en los diferenes componentes del MECI se cuente con aspectos evaluados en nivel 2 (presente) y 3 (funcionando).</v>
      </c>
      <c r="J49" s="87" t="s">
        <v>658</v>
      </c>
      <c r="K49" s="87">
        <f>+IF(ISBLANK(VLOOKUP(A49,'Actividades de control'!$B$21:$F$122,5,0)),"",VLOOKUP(A49,'Actividades de control'!$B$21:$F$122,5,0))</f>
        <v>3</v>
      </c>
      <c r="L49" s="87">
        <f>+IF(ISBLANK(VLOOKUP(A49,'Actividades de control'!$B$21:$J$122,9,0)),"",VLOOKUP(A49,'Actividades de control'!$B$21:$J$122,9,0))</f>
        <v>3</v>
      </c>
      <c r="M49" s="87">
        <f t="shared" si="4"/>
        <v>1</v>
      </c>
      <c r="N49" s="87">
        <f t="shared" si="3"/>
        <v>0.875</v>
      </c>
      <c r="O49" s="87"/>
      <c r="P49" s="87"/>
    </row>
    <row r="50" spans="1:16">
      <c r="A50" s="87" t="s">
        <v>662</v>
      </c>
      <c r="B50" s="87" t="str">
        <f t="shared" si="6"/>
        <v>12</v>
      </c>
      <c r="C50" s="87" t="str">
        <f>+MID(VLOOKUP(A50,'Actividades de control'!$B$13:$C$176,2,0),5,LEN(VLOOKUP(A50,'Actividades de control'!$B$13:$C$176,2,0))-5)</f>
        <v xml:space="preserve"> Se evalúa la actualización de procesos, procedimientos, políticas de operación, instructivos, manuales u otras herramientas para garantizar la aplicación adecuada de las principales actividades de control.
</v>
      </c>
      <c r="D50" s="87" t="s">
        <v>586</v>
      </c>
      <c r="E50" s="87" t="str">
        <f>+VLOOKUP(A50,'Actividades de control'!$B$18:$K$122,3,0)</f>
        <v>Dimensión de Gestión con Valores para el Resultado
Política de Fortalecimiento Organizacional y Simplificación de Procesos.</v>
      </c>
      <c r="F50" s="87" t="str">
        <f>+VLOOKUP(A50,'Actividades de control'!$B$18:$K$122,10,0)</f>
        <v>Mantenimiento del control</v>
      </c>
      <c r="G50" s="87">
        <f>+VLOOKUP(A50,'Actividades de control'!$B$13:$N$176,13,0)</f>
        <v>224.12360000000001</v>
      </c>
      <c r="H50" s="89">
        <f t="shared" si="2"/>
        <v>51</v>
      </c>
      <c r="I50" s="87" t="str">
        <f t="shared" si="5"/>
        <v>Cuando en el análisis de los requerimientos en los diferenes componentes del MECI se cuente con aspectos evaluados en nivel 2 (presente) y 3 (funcionando).</v>
      </c>
      <c r="J50" s="87" t="s">
        <v>663</v>
      </c>
      <c r="K50" s="87">
        <f>+IF(ISBLANK(VLOOKUP(A50,'Actividades de control'!$B$21:$F$122,5,0)),"",VLOOKUP(A50,'Actividades de control'!$B$21:$F$122,5,0))</f>
        <v>3</v>
      </c>
      <c r="L50" s="87">
        <f>+IF(ISBLANK(VLOOKUP(A50,'Actividades de control'!$B$21:$J$122,9,0)),"",VLOOKUP(A50,'Actividades de control'!$B$21:$J$122,9,0))</f>
        <v>3</v>
      </c>
      <c r="M50" s="87">
        <f t="shared" si="4"/>
        <v>1</v>
      </c>
      <c r="N50" s="87">
        <f t="shared" si="3"/>
        <v>0.875</v>
      </c>
      <c r="O50" s="87"/>
      <c r="P50" s="87"/>
    </row>
    <row r="51" spans="1:16">
      <c r="A51" s="87" t="s">
        <v>664</v>
      </c>
      <c r="B51" s="87" t="str">
        <f t="shared" si="6"/>
        <v>12</v>
      </c>
      <c r="C51" s="87" t="str">
        <f>+MID(VLOOKUP(A51,'Actividades de control'!$B$13:$C$176,2,0),6,LEN(VLOOKUP(A51,'Actividades de control'!$B$13:$C$176,2,0))-6)</f>
        <v xml:space="preserve"> El diseño de controles se evalúa frente a la gestión del riesgo</v>
      </c>
      <c r="D51" s="87" t="s">
        <v>586</v>
      </c>
      <c r="E51" s="87" t="str">
        <f>+VLOOKUP(A51,'Actividades de control'!$B$18:$K$122,3,0)</f>
        <v xml:space="preserve">Todas las Dimensiones de MIPG 
</v>
      </c>
      <c r="F51" s="87" t="str">
        <f>+VLOOKUP(A51,'Actividades de control'!$B$18:$K$122,10,0)</f>
        <v>Deficiencia de control (diseño o ejecución)</v>
      </c>
      <c r="G51" s="87">
        <f>+VLOOKUP(A51,'Actividades de control'!$B$13:$N$176,13,0)</f>
        <v>184.23650000000001</v>
      </c>
      <c r="H51" s="89">
        <f t="shared" si="2"/>
        <v>43</v>
      </c>
      <c r="I51" s="87" t="str">
        <f t="shared" si="5"/>
        <v>Cuando en el análisis de los requerimientos en los diferenes componentes del MECI se cuente con aspectos evaluados en nivel 1 (presente) y 1 (funcionando); 2 (presente) y 1 (funcionando).</v>
      </c>
      <c r="J51" s="87" t="s">
        <v>663</v>
      </c>
      <c r="K51" s="87">
        <f>+IF(ISBLANK(VLOOKUP(A51,'Actividades de control'!$B$21:$F$122,5,0)),"",VLOOKUP(A51,'Actividades de control'!$B$21:$F$122,5,0))</f>
        <v>3</v>
      </c>
      <c r="L51" s="87">
        <f>+IF(ISBLANK(VLOOKUP(A51,'Actividades de control'!$B$21:$J$122,9,0)),"",VLOOKUP(A51,'Actividades de control'!$B$21:$J$122,9,0))</f>
        <v>2</v>
      </c>
      <c r="M51" s="87">
        <f t="shared" si="4"/>
        <v>0.5</v>
      </c>
      <c r="N51" s="87">
        <f t="shared" si="3"/>
        <v>0.875</v>
      </c>
      <c r="O51" s="87"/>
      <c r="P51" s="87"/>
    </row>
    <row r="52" spans="1:16">
      <c r="A52" s="87" t="s">
        <v>665</v>
      </c>
      <c r="B52" s="87" t="str">
        <f t="shared" si="6"/>
        <v>12</v>
      </c>
      <c r="C52" s="87" t="str">
        <f>+MID(VLOOKUP(A52,'Actividades de control'!$B$13:$C$176,2,0),6,LEN(VLOOKUP(A52,'Actividades de control'!$B$13:$C$176,2,0))-6)</f>
        <v xml:space="preserve"> Monitoreo a los riesgos acorde con la política de administración de riesgo establecida para la entidad.</v>
      </c>
      <c r="D52" s="87" t="s">
        <v>586</v>
      </c>
      <c r="E52" s="87" t="str">
        <f>+VLOOKUP(A52,'Actividades de control'!$B$18:$K$122,3,0)</f>
        <v>Dimensión de Direccionamiento Estratégico y Planeación
Política de Planeación Institucional.</v>
      </c>
      <c r="F52" s="87" t="str">
        <f>+VLOOKUP(A52,'Actividades de control'!$B$18:$K$122,10,0)</f>
        <v>Mantenimiento del control</v>
      </c>
      <c r="G52" s="87">
        <f>+VLOOKUP(A52,'Actividades de control'!$B$13:$N$176,13,0)</f>
        <v>224.23656</v>
      </c>
      <c r="H52" s="89">
        <f t="shared" si="2"/>
        <v>52</v>
      </c>
      <c r="I52" s="87" t="str">
        <f t="shared" si="5"/>
        <v>Cuando en el análisis de los requerimientos en los diferenes componentes del MECI se cuente con aspectos evaluados en nivel 2 (presente) y 3 (funcionando).</v>
      </c>
      <c r="J52" s="87" t="s">
        <v>663</v>
      </c>
      <c r="K52" s="87">
        <f>+IF(ISBLANK(VLOOKUP(A52,'Actividades de control'!$B$21:$F$122,5,0)),"",VLOOKUP(A52,'Actividades de control'!$B$21:$F$122,5,0))</f>
        <v>3</v>
      </c>
      <c r="L52" s="87">
        <f>+IF(ISBLANK(VLOOKUP(A52,'Actividades de control'!$B$21:$J$122,9,0)),"",VLOOKUP(A52,'Actividades de control'!$B$21:$J$122,9,0))</f>
        <v>3</v>
      </c>
      <c r="M52" s="87">
        <f t="shared" si="4"/>
        <v>1</v>
      </c>
      <c r="N52" s="87">
        <f t="shared" si="3"/>
        <v>0.875</v>
      </c>
      <c r="O52" s="87"/>
      <c r="P52" s="87"/>
    </row>
    <row r="53" spans="1:16">
      <c r="A53" s="87" t="s">
        <v>666</v>
      </c>
      <c r="B53" s="87" t="str">
        <f t="shared" si="6"/>
        <v>12</v>
      </c>
      <c r="C53" s="87" t="str">
        <f>+MID(VLOOKUP(A53,'Actividades de control'!$B$13:$C$176,2,0),6,LEN(VLOOKUP(A53,'Actividades de control'!$B$13:$C$176,2,0))-6)</f>
        <v>Verificación de que los responsables estén ejecutando los controles tal como han sido diseñados</v>
      </c>
      <c r="D53" s="87" t="s">
        <v>586</v>
      </c>
      <c r="E53" s="87" t="str">
        <f>+VLOOKUP(A53,'Actividades de control'!$B$18:$K$122,3,0)</f>
        <v>Dimensión Control Interno
Segunda Línea de Defensa</v>
      </c>
      <c r="F53" s="87" t="str">
        <f>+VLOOKUP(A53,'Actividades de control'!$B$18:$K$122,10,0)</f>
        <v>Mantenimiento del control</v>
      </c>
      <c r="G53" s="87">
        <f>+VLOOKUP(A53,'Actividades de control'!$B$13:$N$176,13,0)</f>
        <v>224.23656800000001</v>
      </c>
      <c r="H53" s="89">
        <f>+_xlfn.RANK.EQ(G53,$G$2:$G$82,1)</f>
        <v>53</v>
      </c>
      <c r="I53" s="87" t="str">
        <f t="shared" si="5"/>
        <v>Cuando en el análisis de los requerimientos en los diferenes componentes del MECI se cuente con aspectos evaluados en nivel 2 (presente) y 3 (funcionando).</v>
      </c>
      <c r="J53" s="87" t="s">
        <v>663</v>
      </c>
      <c r="K53" s="87">
        <f>+IF(ISBLANK(VLOOKUP(A53,'Actividades de control'!$B$21:$F$122,5,0)),"",VLOOKUP(A53,'Actividades de control'!$B$21:$F$122,5,0))</f>
        <v>3</v>
      </c>
      <c r="L53" s="87">
        <f>+IF(ISBLANK(VLOOKUP(A53,'Actividades de control'!$B$21:$J$122,9,0)),"",VLOOKUP(A53,'Actividades de control'!$B$21:$J$122,9,0))</f>
        <v>3</v>
      </c>
      <c r="M53" s="87">
        <f t="shared" si="4"/>
        <v>1</v>
      </c>
      <c r="N53" s="87">
        <f>+AVERAGEIF($D$2:$D$82,D53,$M$2:$M$82)</f>
        <v>0.875</v>
      </c>
      <c r="O53" s="87"/>
      <c r="P53" s="87"/>
    </row>
    <row r="54" spans="1:16">
      <c r="A54" s="87" t="s">
        <v>667</v>
      </c>
      <c r="B54" s="87" t="str">
        <f t="shared" si="6"/>
        <v>12</v>
      </c>
      <c r="C54" s="87" t="str">
        <f>+MID(VLOOKUP(A54,'Actividades de control'!$B$13:$C$176,2,0),6,LEN(VLOOKUP(A54,'Actividades de control'!$B$13:$C$176,2,0))-6)</f>
        <v xml:space="preserve"> Se evalúa la adecuación de los controles a las especificidades de cada proceso, considerando cambios en regulaciones, estructuras internas u otros aspectos que determinen cambios en su diseño</v>
      </c>
      <c r="D54" s="87" t="s">
        <v>586</v>
      </c>
      <c r="E54" s="87" t="str">
        <f>+VLOOKUP(A54,'Actividades de control'!$B$18:$K$122,3,0)</f>
        <v>Dimensión Control Interno
 Líneas de Defensa</v>
      </c>
      <c r="F54" s="87" t="str">
        <f>+VLOOKUP(A54,'Actividades de control'!$B$18:$K$122,10,0)</f>
        <v>Deficiencia de control (diseño o ejecución)</v>
      </c>
      <c r="G54" s="87">
        <f>+VLOOKUP(A54,'Actividades de control'!$B$13:$N$176,13,0)</f>
        <v>184.3569</v>
      </c>
      <c r="H54" s="89">
        <f>+_xlfn.RANK.EQ(G54,$G$2:$G$82,1)</f>
        <v>44</v>
      </c>
      <c r="I54" s="87" t="str">
        <f t="shared" si="5"/>
        <v>Cuando en el análisis de los requerimientos en los diferenes componentes del MECI se cuente con aspectos evaluados en nivel 1 (presente) y 1 (funcionando); 2 (presente) y 1 (funcionando).</v>
      </c>
      <c r="J54" s="87" t="s">
        <v>663</v>
      </c>
      <c r="K54" s="87">
        <f>+IF(ISBLANK(VLOOKUP(A54,'Actividades de control'!$B$21:$F$122,5,0)),"",VLOOKUP(A54,'Actividades de control'!$B$21:$F$122,5,0))</f>
        <v>3</v>
      </c>
      <c r="L54" s="87">
        <f>+IF(ISBLANK(VLOOKUP(A54,'Actividades de control'!$B$21:$J$122,9,0)),"",VLOOKUP(A54,'Actividades de control'!$B$21:$J$122,9,0))</f>
        <v>2</v>
      </c>
      <c r="M54" s="87">
        <f t="shared" si="4"/>
        <v>0.5</v>
      </c>
      <c r="N54" s="87">
        <f>+AVERAGEIF($D$2:$D$82,D54,$M$2:$M$82)</f>
        <v>0.875</v>
      </c>
      <c r="O54" s="87"/>
      <c r="P54" s="87"/>
    </row>
    <row r="55" spans="1:16" ht="12.75" customHeight="1">
      <c r="A55" s="87" t="s">
        <v>668</v>
      </c>
      <c r="B55" s="87" t="str">
        <f t="shared" si="6"/>
        <v>13</v>
      </c>
      <c r="C55" s="87" t="str">
        <f>+MID(VLOOKUP(A55,'Info y Comunicación'!$B$13:$C$160,2,0),6,LEN(VLOOKUP(A55,'Info y Comunicación'!$B$13:$C$160,2,0))-6)</f>
        <v>La entidad ha diseñado sistemas de información para capturar y procesar datos y transformarlos en información para alcanzar los requerimientos de información definidos</v>
      </c>
      <c r="D55" s="87" t="s">
        <v>669</v>
      </c>
      <c r="E55" s="87" t="str">
        <f>+VLOOKUP(A55,'Info y Comunicación'!$B$15:$K$138,3,0)</f>
        <v xml:space="preserve">Dimensión de Información y comunicación 
</v>
      </c>
      <c r="F55" s="87" t="str">
        <f>+VLOOKUP(A55,'Info y Comunicación'!$B$15:$K$138,10,0)</f>
        <v>Mantenimiento del control</v>
      </c>
      <c r="G55" s="87">
        <f>+VLOOKUP(A55,'Info y Comunicación'!$B$13:$N$160,13,0)</f>
        <v>304.45690000000002</v>
      </c>
      <c r="H55" s="89">
        <f t="shared" si="2"/>
        <v>55</v>
      </c>
      <c r="I55" s="87" t="str">
        <f t="shared" si="5"/>
        <v>Cuando en el análisis de los requerimientos en los diferenes componentes del MECI se cuente con aspectos evaluados en nivel 2 (presente) y 3 (funcionando).</v>
      </c>
      <c r="J55" s="87" t="s">
        <v>670</v>
      </c>
      <c r="K55" s="87">
        <f>+IF(ISBLANK(VLOOKUP(A55,'Info y Comunicación'!$B$19:$F$138,5,0)),"",VLOOKUP(A55,'Info y Comunicación'!$B$19:$F$138,5,0))</f>
        <v>3</v>
      </c>
      <c r="L55" s="87">
        <f>+IF(ISBLANK(VLOOKUP(A55,'Info y Comunicación'!$B$19:$J$138,9,0)),"",VLOOKUP(A55,'Info y Comunicación'!$B$19:$J$138,9,0))</f>
        <v>3</v>
      </c>
      <c r="M55" s="87">
        <f t="shared" si="4"/>
        <v>1</v>
      </c>
      <c r="N55" s="87">
        <f>+AVERAGEIF($D$2:$D$82,D55,$M$2:$M$82)</f>
        <v>0.9642857142857143</v>
      </c>
      <c r="O55" s="87"/>
      <c r="P55" s="87"/>
    </row>
    <row r="56" spans="1:16" ht="12.75" customHeight="1">
      <c r="A56" s="87" t="s">
        <v>671</v>
      </c>
      <c r="B56" s="87" t="str">
        <f t="shared" si="6"/>
        <v>13</v>
      </c>
      <c r="C56" s="87" t="str">
        <f>+MID(VLOOKUP(A56,'Info y Comunicación'!$B$13:$C$160,2,0),6,LEN(VLOOKUP(A56,'Info y Comunicación'!$B$13:$C$160,2,0))-6)</f>
        <v xml:space="preserve"> La entidad cuenta con el inventario de información relevante (interno/externa) y cuenta con un mecanismo que permita su actualización</v>
      </c>
      <c r="D56" s="87" t="s">
        <v>669</v>
      </c>
      <c r="E56" s="87" t="str">
        <f>+VLOOKUP(A56,'Info y Comunicación'!$B$15:$K$138,3,0)</f>
        <v>Dimensión de Información y comunicación 
Política de Transparencia y Acceso a la Información Publica</v>
      </c>
      <c r="F56" s="87" t="str">
        <f>+VLOOKUP(A56,'Info y Comunicación'!$B$15:$K$138,10,0)</f>
        <v>Mantenimiento del control</v>
      </c>
      <c r="G56" s="87">
        <f>+VLOOKUP(A56,'Info y Comunicación'!$B$13:$N$160,13,0)</f>
        <v>304.56319999999999</v>
      </c>
      <c r="H56" s="89">
        <f t="shared" si="2"/>
        <v>56</v>
      </c>
      <c r="I56" s="87" t="str">
        <f t="shared" si="5"/>
        <v>Cuando en el análisis de los requerimientos en los diferenes componentes del MECI se cuente con aspectos evaluados en nivel 2 (presente) y 3 (funcionando).</v>
      </c>
      <c r="J56" s="87" t="s">
        <v>670</v>
      </c>
      <c r="K56" s="87">
        <f>+IF(ISBLANK(VLOOKUP(A56,'Info y Comunicación'!$B$19:$F$138,5,0)),"",VLOOKUP(A56,'Info y Comunicación'!$B$19:$F$138,5,0))</f>
        <v>3</v>
      </c>
      <c r="L56" s="87">
        <f>+IF(ISBLANK(VLOOKUP(A56,'Info y Comunicación'!$B$19:$J$138,9,0)),"",VLOOKUP(A56,'Info y Comunicación'!$B$19:$J$138,9,0))</f>
        <v>3</v>
      </c>
      <c r="M56" s="87">
        <f t="shared" si="4"/>
        <v>1</v>
      </c>
      <c r="N56" s="87">
        <f t="shared" si="3"/>
        <v>0.9642857142857143</v>
      </c>
      <c r="O56" s="87"/>
      <c r="P56" s="87"/>
    </row>
    <row r="57" spans="1:16" ht="12.75" customHeight="1">
      <c r="A57" s="87" t="s">
        <v>672</v>
      </c>
      <c r="B57" s="87" t="str">
        <f t="shared" si="6"/>
        <v>13</v>
      </c>
      <c r="C57" s="87" t="str">
        <f>+MID(VLOOKUP(A57,'Info y Comunicación'!$B$13:$C$160,2,0),6,LEN(VLOOKUP(A57,'Info y Comunicación'!$B$13:$C$160,2,0))-6)</f>
        <v>La entidad considera un ámbito amplio de fuentes de datos (internas y externas), para la captura y procesamiento posterior de información clave para la consecución de metas y objetivos</v>
      </c>
      <c r="D57" s="87" t="s">
        <v>669</v>
      </c>
      <c r="E57" s="87" t="str">
        <f>+VLOOKUP(A57,'Info y Comunicación'!$B$15:$K$138,3,0)</f>
        <v>Dimensión de Información y comunicación 
Política de Transparencia y Acceso a la Información Publica</v>
      </c>
      <c r="F57" s="87" t="str">
        <f>+VLOOKUP(A57,'Info y Comunicación'!$B$15:$K$138,10,0)</f>
        <v>Mantenimiento del control</v>
      </c>
      <c r="G57" s="87">
        <f>+VLOOKUP(A57,'Info y Comunicación'!$B$13:$N$160,13,0)</f>
        <v>304.63209999999998</v>
      </c>
      <c r="H57" s="89">
        <f t="shared" si="2"/>
        <v>57</v>
      </c>
      <c r="I57" s="87" t="str">
        <f t="shared" si="5"/>
        <v>Cuando en el análisis de los requerimientos en los diferenes componentes del MECI se cuente con aspectos evaluados en nivel 2 (presente) y 3 (funcionando).</v>
      </c>
      <c r="J57" s="87" t="s">
        <v>670</v>
      </c>
      <c r="K57" s="87">
        <f>+IF(ISBLANK(VLOOKUP(A57,'Info y Comunicación'!$B$19:$F$138,5,0)),"",VLOOKUP(A57,'Info y Comunicación'!$B$19:$F$138,5,0))</f>
        <v>3</v>
      </c>
      <c r="L57" s="87">
        <f>+IF(ISBLANK(VLOOKUP(A57,'Info y Comunicación'!$B$19:$J$138,9,0)),"",VLOOKUP(A57,'Info y Comunicación'!$B$19:$J$138,9,0))</f>
        <v>3</v>
      </c>
      <c r="M57" s="87">
        <f t="shared" si="4"/>
        <v>1</v>
      </c>
      <c r="N57" s="87">
        <f t="shared" si="3"/>
        <v>0.9642857142857143</v>
      </c>
      <c r="O57" s="87"/>
      <c r="P57" s="87"/>
    </row>
    <row r="58" spans="1:16" ht="12.75" customHeight="1">
      <c r="A58" s="87" t="s">
        <v>673</v>
      </c>
      <c r="B58" s="87" t="str">
        <f t="shared" si="6"/>
        <v>13</v>
      </c>
      <c r="C58" s="87" t="str">
        <f>+MID(VLOOKUP(A58,'Info y Comunicación'!$B$13:$C$160,2,0),6,LEN(VLOOKUP(A58,'Info y Comunicación'!$B$13:$C$160,2,0))-6)</f>
        <v>La entidad ha desarrollado e implementado actividades de control sobre la integridad, confidencialidad y disponibilidad de los datos e información definidos como relevantes</v>
      </c>
      <c r="D58" s="87" t="s">
        <v>669</v>
      </c>
      <c r="E58" s="87" t="str">
        <f>+VLOOKUP(A58,'Info y Comunicación'!$B$15:$K$138,3,0)</f>
        <v>Dimensión de Información y comunicación 
Política de Transparencia y Acceso a la Información Publica</v>
      </c>
      <c r="F58" s="87" t="str">
        <f>+VLOOKUP(A58,'Info y Comunicación'!$B$15:$K$138,10,0)</f>
        <v>Deficiencia de control (diseño o ejecución)</v>
      </c>
      <c r="G58" s="87">
        <f>+VLOOKUP(A58,'Info y Comunicación'!$B$13:$N$160,13,0)</f>
        <v>264.78960000000001</v>
      </c>
      <c r="H58" s="89">
        <f t="shared" si="2"/>
        <v>54</v>
      </c>
      <c r="I58" s="87" t="str">
        <f t="shared" si="5"/>
        <v>Cuando en el análisis de los requerimientos en los diferenes componentes del MECI se cuente con aspectos evaluados en nivel 1 (presente) y 1 (funcionando); 2 (presente) y 1 (funcionando).</v>
      </c>
      <c r="J58" s="87" t="s">
        <v>670</v>
      </c>
      <c r="K58" s="87">
        <f>+IF(ISBLANK(VLOOKUP(A58,'Info y Comunicación'!$B$19:$F$138,5,0)),"",VLOOKUP(A58,'Info y Comunicación'!$B$19:$F$138,5,0))</f>
        <v>3</v>
      </c>
      <c r="L58" s="87">
        <f>+IF(ISBLANK(VLOOKUP(A58,'Info y Comunicación'!$B$19:$J$138,9,0)),"",VLOOKUP(A58,'Info y Comunicación'!$B$19:$J$138,9,0))</f>
        <v>2</v>
      </c>
      <c r="M58" s="87">
        <f t="shared" si="4"/>
        <v>0.5</v>
      </c>
      <c r="N58" s="87">
        <f t="shared" si="3"/>
        <v>0.9642857142857143</v>
      </c>
      <c r="O58" s="87"/>
      <c r="P58" s="87"/>
    </row>
    <row r="59" spans="1:16" ht="12.75" customHeight="1">
      <c r="A59" s="87" t="s">
        <v>674</v>
      </c>
      <c r="B59" s="87" t="str">
        <f t="shared" si="6"/>
        <v>14</v>
      </c>
      <c r="C59" s="87" t="str">
        <f>+MID(VLOOKUP(A59,'Info y Comunicación'!$B$13:$C$160,2,0),6,LEN(VLOOKUP(A59,'Info y Comunicación'!$B$13:$C$160,2,0))-6)</f>
        <v>Para la comunicación interna la Alta Dirección tiene mecanismos que permitan dar a conocer los objetivos y metas estratégicas, de manera tal que todo el personal entiende su papel en su consecución. (Considera los canales más apropiados y evalúa su efectividad)</v>
      </c>
      <c r="D59" s="87" t="s">
        <v>669</v>
      </c>
      <c r="E59" s="87" t="str">
        <f>+VLOOKUP(A59,'Info y Comunicación'!$B$15:$K$138,3,0)</f>
        <v xml:space="preserve">Dimensión de Información y comunicación
</v>
      </c>
      <c r="F59" s="87" t="str">
        <f>+VLOOKUP(A59,'Info y Comunicación'!$B$15:$K$138,10,0)</f>
        <v>Mantenimiento del control</v>
      </c>
      <c r="G59" s="87">
        <f>+VLOOKUP(A59,'Info y Comunicación'!$B$13:$N$160,13,0)</f>
        <v>304.8965</v>
      </c>
      <c r="H59" s="89">
        <f t="shared" si="2"/>
        <v>58</v>
      </c>
      <c r="I59" s="87" t="str">
        <f t="shared" si="5"/>
        <v>Cuando en el análisis de los requerimientos en los diferenes componentes del MECI se cuente con aspectos evaluados en nivel 2 (presente) y 3 (funcionando).</v>
      </c>
      <c r="J59" s="87" t="s">
        <v>675</v>
      </c>
      <c r="K59" s="87">
        <f>+IF(ISBLANK(VLOOKUP(A59,'Info y Comunicación'!$B$19:$F$138,5,0)),"",VLOOKUP(A59,'Info y Comunicación'!$B$19:$F$138,5,0))</f>
        <v>3</v>
      </c>
      <c r="L59" s="87">
        <f>+IF(ISBLANK(VLOOKUP(A59,'Info y Comunicación'!$B$19:$J$138,9,0)),"",VLOOKUP(A59,'Info y Comunicación'!$B$19:$J$138,9,0))</f>
        <v>3</v>
      </c>
      <c r="M59" s="87">
        <f t="shared" si="4"/>
        <v>1</v>
      </c>
      <c r="N59" s="87">
        <f t="shared" si="3"/>
        <v>0.9642857142857143</v>
      </c>
      <c r="O59" s="87"/>
      <c r="P59" s="87"/>
    </row>
    <row r="60" spans="1:16" ht="12.75" customHeight="1">
      <c r="A60" s="87" t="s">
        <v>676</v>
      </c>
      <c r="B60" s="87" t="str">
        <f t="shared" si="6"/>
        <v>14</v>
      </c>
      <c r="C60" s="87" t="str">
        <f>+MID(VLOOKUP(A60,'Info y Comunicación'!$B$13:$C$160,2,0),6,LEN(VLOOKUP(A60,'Info y Comunicación'!$B$13:$C$160,2,0))-6)</f>
        <v>La entidad cuenta con políticas de operación relacionadas con la administración de la información (niveles de autoridad y responsabilidad</v>
      </c>
      <c r="D60" s="87" t="s">
        <v>669</v>
      </c>
      <c r="E60" s="87" t="str">
        <f>+VLOOKUP(A60,'Info y Comunicación'!$B$15:$K$138,3,0)</f>
        <v xml:space="preserve">Dimensión de Información y comunicación
</v>
      </c>
      <c r="F60" s="87" t="str">
        <f>+VLOOKUP(A60,'Info y Comunicación'!$B$15:$K$138,10,0)</f>
        <v>Mantenimiento del control</v>
      </c>
      <c r="G60" s="87">
        <f>+VLOOKUP(A60,'Info y Comunicación'!$B$13:$N$160,13,0)</f>
        <v>304.98540000000003</v>
      </c>
      <c r="H60" s="89">
        <f t="shared" si="2"/>
        <v>59</v>
      </c>
      <c r="I60" s="87" t="str">
        <f t="shared" si="5"/>
        <v>Cuando en el análisis de los requerimientos en los diferenes componentes del MECI se cuente con aspectos evaluados en nivel 2 (presente) y 3 (funcionando).</v>
      </c>
      <c r="J60" s="87" t="s">
        <v>675</v>
      </c>
      <c r="K60" s="87">
        <f>+IF(ISBLANK(VLOOKUP(A60,'Info y Comunicación'!$B$19:$F$138,5,0)),"",VLOOKUP(A60,'Info y Comunicación'!$B$19:$F$138,5,0))</f>
        <v>3</v>
      </c>
      <c r="L60" s="87">
        <f>+IF(ISBLANK(VLOOKUP(A60,'Info y Comunicación'!$B$19:$J$138,9,0)),"",VLOOKUP(A60,'Info y Comunicación'!$B$19:$J$138,9,0))</f>
        <v>3</v>
      </c>
      <c r="M60" s="87">
        <f t="shared" si="4"/>
        <v>1</v>
      </c>
      <c r="N60" s="87">
        <f t="shared" si="3"/>
        <v>0.9642857142857143</v>
      </c>
      <c r="O60" s="87"/>
      <c r="P60" s="87"/>
    </row>
    <row r="61" spans="1:16" ht="12.75" customHeight="1">
      <c r="A61" s="87" t="s">
        <v>677</v>
      </c>
      <c r="B61" s="87" t="str">
        <f t="shared" si="6"/>
        <v>14</v>
      </c>
      <c r="C61" s="87" t="str">
        <f>+MID(VLOOKUP(A61,'Info y Comunicación'!$B$13:$C$160,2,0),6,LEN(VLOOKUP(A61,'Info y Comunicación'!$B$13:$C$160,2,0))-6)</f>
        <v>La entidad cuenta con canales de información internos para la denuncia anónima o confidencial de posibles situaciones irregulares y se cuenta con mecanismos específicos para su manejo, de manera tal que generen la confianza para utilizarlos</v>
      </c>
      <c r="D61" s="87" t="s">
        <v>669</v>
      </c>
      <c r="E61" s="87" t="str">
        <f>+VLOOKUP(A61,'Info y Comunicación'!$B$15:$K$138,3,0)</f>
        <v xml:space="preserve">Dimensión de Información y comunicación
</v>
      </c>
      <c r="F61" s="87" t="str">
        <f>+VLOOKUP(A61,'Info y Comunicación'!$B$15:$K$138,10,0)</f>
        <v>Mantenimiento del control</v>
      </c>
      <c r="G61" s="87">
        <f>+VLOOKUP(A61,'Info y Comunicación'!$B$13:$N$160,13,0)</f>
        <v>305.01229999999998</v>
      </c>
      <c r="H61" s="89">
        <f t="shared" si="2"/>
        <v>60</v>
      </c>
      <c r="I61" s="87" t="str">
        <f t="shared" si="5"/>
        <v>Cuando en el análisis de los requerimientos en los diferenes componentes del MECI se cuente con aspectos evaluados en nivel 2 (presente) y 3 (funcionando).</v>
      </c>
      <c r="J61" s="87" t="s">
        <v>675</v>
      </c>
      <c r="K61" s="87">
        <f>+IF(ISBLANK(VLOOKUP(A61,'Info y Comunicación'!$B$19:$F$138,5,0)),"",VLOOKUP(A61,'Info y Comunicación'!$B$19:$F$138,5,0))</f>
        <v>3</v>
      </c>
      <c r="L61" s="87">
        <f>+IF(ISBLANK(VLOOKUP(A61,'Info y Comunicación'!$B$19:$J$138,9,0)),"",VLOOKUP(A61,'Info y Comunicación'!$B$19:$J$138,9,0))</f>
        <v>3</v>
      </c>
      <c r="M61" s="87">
        <f t="shared" si="4"/>
        <v>1</v>
      </c>
      <c r="N61" s="87">
        <f t="shared" si="3"/>
        <v>0.9642857142857143</v>
      </c>
      <c r="O61" s="87"/>
      <c r="P61" s="87"/>
    </row>
    <row r="62" spans="1:16" ht="12.75" customHeight="1">
      <c r="A62" s="87" t="s">
        <v>678</v>
      </c>
      <c r="B62" s="87" t="str">
        <f t="shared" si="6"/>
        <v>14</v>
      </c>
      <c r="C62" s="87" t="str">
        <f>+MID(VLOOKUP(A62,'Info y Comunicación'!$B$13:$C$160,2,0),6,LEN(VLOOKUP(A62,'Info y Comunicación'!$B$13:$C$160,2,0))-6)</f>
        <v>La entidad establece e implementa políticas y procedimientos para facilitar una comunicación interna efectiva</v>
      </c>
      <c r="D62" s="87" t="s">
        <v>669</v>
      </c>
      <c r="E62" s="87" t="str">
        <f>+VLOOKUP(A62,'Info y Comunicación'!$B$15:$K$138,3,0)</f>
        <v xml:space="preserve">Dimensión de Información y comunicación
</v>
      </c>
      <c r="F62" s="87" t="str">
        <f>+VLOOKUP(A62,'Info y Comunicación'!$B$15:$K$138,10,0)</f>
        <v>Mantenimiento del control</v>
      </c>
      <c r="G62" s="87">
        <f>+VLOOKUP(A62,'Info y Comunicación'!$B$13:$N$160,13,0)</f>
        <v>305.12360000000001</v>
      </c>
      <c r="H62" s="89">
        <f t="shared" si="2"/>
        <v>61</v>
      </c>
      <c r="I62" s="87" t="str">
        <f t="shared" si="5"/>
        <v>Cuando en el análisis de los requerimientos en los diferenes componentes del MECI se cuente con aspectos evaluados en nivel 2 (presente) y 3 (funcionando).</v>
      </c>
      <c r="J62" s="87" t="s">
        <v>675</v>
      </c>
      <c r="K62" s="87">
        <f>+IF(ISBLANK(VLOOKUP(A62,'Info y Comunicación'!$B$19:$F$138,5,0)),"",VLOOKUP(A62,'Info y Comunicación'!$B$19:$F$138,5,0))</f>
        <v>3</v>
      </c>
      <c r="L62" s="87">
        <f>+IF(ISBLANK(VLOOKUP(A62,'Info y Comunicación'!$B$19:$J$138,9,0)),"",VLOOKUP(A62,'Info y Comunicación'!$B$19:$J$138,9,0))</f>
        <v>3</v>
      </c>
      <c r="M62" s="87">
        <f t="shared" si="4"/>
        <v>1</v>
      </c>
      <c r="N62" s="87">
        <f t="shared" si="3"/>
        <v>0.9642857142857143</v>
      </c>
      <c r="O62" s="87"/>
      <c r="P62" s="87"/>
    </row>
    <row r="63" spans="1:16" ht="12.75" customHeight="1">
      <c r="A63" s="87" t="s">
        <v>679</v>
      </c>
      <c r="B63" s="87" t="str">
        <f t="shared" si="6"/>
        <v>15</v>
      </c>
      <c r="C63" s="87" t="str">
        <f>+MID(VLOOKUP(A63,'Info y Comunicación'!$B$13:$C$160,2,0),6,LEN(VLOOKUP(A63,'Info y Comunicación'!$B$13:$C$160,2,0))-6)</f>
        <v>La entidad desarrolla e implementa controles que facilitan la comunicación externa, la cual incluye  políticas y procedimientos. 
Incluye contratistas y proveedores de servicios tercerizadas (cuando aplique).</v>
      </c>
      <c r="D63" s="87" t="s">
        <v>669</v>
      </c>
      <c r="E63" s="87" t="str">
        <f>+VLOOKUP(A63,'Info y Comunicación'!$B$15:$K$138,3,0)</f>
        <v xml:space="preserve">
Dimensión de Información y Comunicación
Dimensión de Control Interno
Primera Línea de Defensa</v>
      </c>
      <c r="F63" s="87" t="str">
        <f>+VLOOKUP(A63,'Info y Comunicación'!$B$15:$K$138,10,0)</f>
        <v>Mantenimiento del control</v>
      </c>
      <c r="G63" s="87">
        <f>+VLOOKUP(A63,'Info y Comunicación'!$B$13:$N$160,13,0)</f>
        <v>305.23689999999999</v>
      </c>
      <c r="H63" s="89">
        <f t="shared" si="2"/>
        <v>62</v>
      </c>
      <c r="I63" s="87" t="str">
        <f t="shared" si="5"/>
        <v>Cuando en el análisis de los requerimientos en los diferenes componentes del MECI se cuente con aspectos evaluados en nivel 2 (presente) y 3 (funcionando).</v>
      </c>
      <c r="J63" s="87" t="s">
        <v>680</v>
      </c>
      <c r="K63" s="87">
        <f>+IF(ISBLANK(VLOOKUP(A63,'Info y Comunicación'!$B$19:$F$138,5,0)),"",VLOOKUP(A63,'Info y Comunicación'!$B$19:$F$138,5,0))</f>
        <v>3</v>
      </c>
      <c r="L63" s="87">
        <f>+IF(ISBLANK(VLOOKUP(A63,'Info y Comunicación'!$B$19:$J$138,9,0)),"",VLOOKUP(A63,'Info y Comunicación'!$B$19:$J$138,9,0))</f>
        <v>3</v>
      </c>
      <c r="M63" s="87">
        <f t="shared" si="4"/>
        <v>1</v>
      </c>
      <c r="N63" s="87">
        <f t="shared" si="3"/>
        <v>0.9642857142857143</v>
      </c>
      <c r="O63" s="87"/>
      <c r="P63" s="87"/>
    </row>
    <row r="64" spans="1:16">
      <c r="A64" s="87" t="s">
        <v>681</v>
      </c>
      <c r="B64" s="87" t="str">
        <f t="shared" si="6"/>
        <v>15</v>
      </c>
      <c r="C64" s="87" t="str">
        <f>+MID(VLOOKUP(A64,'Info y Comunicación'!$B$13:$C$160,2,0),6,LEN(VLOOKUP(A64,'Info y Comunicación'!$B$13:$C$160,2,0))-6)</f>
        <v>La entidad cuenta con canales externos definidos de comunicación, asociados con el tipo de información a divulgar, y éstos son reconocidos a todo nivel de la organización.</v>
      </c>
      <c r="D64" s="87" t="s">
        <v>669</v>
      </c>
      <c r="E64" s="87" t="str">
        <f>+VLOOKUP(A64,'Info y Comunicación'!$B$15:$K$138,3,0)</f>
        <v xml:space="preserve">Dimensión de Información y Comunicación
Política de Transparencia, acceso a la información pública y lucha
contra la corrupción </v>
      </c>
      <c r="F64" s="87" t="str">
        <f>+VLOOKUP(A64,'Info y Comunicación'!$B$15:$K$138,10,0)</f>
        <v>Mantenimiento del control</v>
      </c>
      <c r="G64" s="87">
        <f>+VLOOKUP(A64,'Info y Comunicación'!$B$13:$N$160,13,0)</f>
        <v>305.36540000000002</v>
      </c>
      <c r="H64" s="89">
        <f t="shared" si="2"/>
        <v>63</v>
      </c>
      <c r="I64" s="87" t="str">
        <f t="shared" si="5"/>
        <v>Cuando en el análisis de los requerimientos en los diferenes componentes del MECI se cuente con aspectos evaluados en nivel 2 (presente) y 3 (funcionando).</v>
      </c>
      <c r="J64" s="87" t="s">
        <v>680</v>
      </c>
      <c r="K64" s="87">
        <f>+IF(ISBLANK(VLOOKUP(A64,'Info y Comunicación'!$B$19:$F$138,5,0)),"",VLOOKUP(A64,'Info y Comunicación'!$B$19:$F$138,5,0))</f>
        <v>3</v>
      </c>
      <c r="L64" s="87">
        <f>+IF(ISBLANK(VLOOKUP(A64,'Info y Comunicación'!$B$19:$J$138,9,0)),"",VLOOKUP(A64,'Info y Comunicación'!$B$19:$J$138,9,0))</f>
        <v>3</v>
      </c>
      <c r="M64" s="87">
        <f t="shared" si="4"/>
        <v>1</v>
      </c>
      <c r="N64" s="87">
        <f t="shared" si="3"/>
        <v>0.9642857142857143</v>
      </c>
      <c r="O64" s="87"/>
      <c r="P64" s="87"/>
    </row>
    <row r="65" spans="1:16">
      <c r="A65" s="87" t="s">
        <v>682</v>
      </c>
      <c r="B65" s="87" t="str">
        <f t="shared" si="6"/>
        <v>15</v>
      </c>
      <c r="C65" s="87" t="str">
        <f>+MID(VLOOKUP(A65,'Info y Comunicación'!$B$13:$C$160,2,0),6,LEN(VLOOKUP(A65,'Info y Comunicación'!$B$13:$C$160,2,0))-6)</f>
        <v>La entidad cuenta con procesos o procedimiento para el manejo de la información entrante (quién la recibe, quién la clasifica, quién la analiza), y a la respuesta requerida (quién la canaliza y la responde)</v>
      </c>
      <c r="D65" s="87" t="s">
        <v>669</v>
      </c>
      <c r="E65" s="87" t="str">
        <f>+VLOOKUP(A65,'Info y Comunicación'!$B$15:$K$138,3,0)</f>
        <v xml:space="preserve">Dimensión de Información y Comunicación
Política de Gestión Documental
Política de Transparencia, acceso a la información pública y lucha
contra la corrupción </v>
      </c>
      <c r="F65" s="87" t="str">
        <f>+VLOOKUP(A65,'Info y Comunicación'!$B$15:$K$138,10,0)</f>
        <v>Mantenimiento del control</v>
      </c>
      <c r="G65" s="87">
        <f>+VLOOKUP(A65,'Info y Comunicación'!$B$13:$N$160,13,0)</f>
        <v>305.4563</v>
      </c>
      <c r="H65" s="89">
        <f t="shared" si="2"/>
        <v>64</v>
      </c>
      <c r="I65" s="87" t="str">
        <f t="shared" si="5"/>
        <v>Cuando en el análisis de los requerimientos en los diferenes componentes del MECI se cuente con aspectos evaluados en nivel 2 (presente) y 3 (funcionando).</v>
      </c>
      <c r="J65" s="87" t="s">
        <v>680</v>
      </c>
      <c r="K65" s="87">
        <f>+IF(ISBLANK(VLOOKUP(A65,'Info y Comunicación'!$B$19:$F$138,5,0)),"",VLOOKUP(A65,'Info y Comunicación'!$B$19:$F$138,5,0))</f>
        <v>3</v>
      </c>
      <c r="L65" s="87">
        <f>+IF(ISBLANK(VLOOKUP(A65,'Info y Comunicación'!$B$19:$J$138,9,0)),"",VLOOKUP(A65,'Info y Comunicación'!$B$19:$J$138,9,0))</f>
        <v>3</v>
      </c>
      <c r="M65" s="87">
        <f t="shared" si="4"/>
        <v>1</v>
      </c>
      <c r="N65" s="87">
        <f t="shared" si="3"/>
        <v>0.9642857142857143</v>
      </c>
      <c r="O65" s="87"/>
      <c r="P65" s="87"/>
    </row>
    <row r="66" spans="1:16">
      <c r="A66" s="87" t="s">
        <v>683</v>
      </c>
      <c r="B66" s="87" t="str">
        <f t="shared" si="6"/>
        <v>15</v>
      </c>
      <c r="C66" s="87" t="str">
        <f>+MID(VLOOKUP(A66,'Info y Comunicación'!$B$13:$C$160,2,0),6,LEN(VLOOKUP(A66,'Info y Comunicación'!$B$13:$C$160,2,0))-6)</f>
        <v>La entidad cuenta con procesos o procedimientos encaminados a evaluar periódicamente la efectividad de los canales de comunicación con partes externas, así como sus contenidos, de tal forma que se puedan mejorar.</v>
      </c>
      <c r="D66" s="87" t="s">
        <v>669</v>
      </c>
      <c r="E66" s="87" t="str">
        <f>+VLOOKUP(A66,'Info y Comunicación'!$B$15:$K$138,3,0)</f>
        <v>Dimensión de Información y Comunicación
Política de Control Interno
Líneas de Defensa</v>
      </c>
      <c r="F66" s="87" t="str">
        <f>+VLOOKUP(A66,'Info y Comunicación'!$B$15:$K$138,10,0)</f>
        <v>Mantenimiento del control</v>
      </c>
      <c r="G66" s="87">
        <f>+VLOOKUP(A66,'Info y Comunicación'!$B$13:$N$160,13,0)</f>
        <v>305.56319999999999</v>
      </c>
      <c r="H66" s="89">
        <f t="shared" si="2"/>
        <v>65</v>
      </c>
      <c r="I66" s="87" t="str">
        <f t="shared" ref="I66:I82" si="7">+IF(F66=$F$2,$P$4,IF(F66=$F$3,$P$2,$P$3))</f>
        <v>Cuando en el análisis de los requerimientos en los diferenes componentes del MECI se cuente con aspectos evaluados en nivel 2 (presente) y 3 (funcionando).</v>
      </c>
      <c r="J66" s="87" t="s">
        <v>680</v>
      </c>
      <c r="K66" s="87">
        <f>+IF(ISBLANK(VLOOKUP(A66,'Info y Comunicación'!$B$19:$F$138,5,0)),"",VLOOKUP(A66,'Info y Comunicación'!$B$19:$F$138,5,0))</f>
        <v>3</v>
      </c>
      <c r="L66" s="87">
        <f>+IF(ISBLANK(VLOOKUP(A66,'Info y Comunicación'!$B$19:$J$138,9,0)),"",VLOOKUP(A66,'Info y Comunicación'!$B$19:$J$138,9,0))</f>
        <v>3</v>
      </c>
      <c r="M66" s="87">
        <f t="shared" si="4"/>
        <v>1</v>
      </c>
      <c r="N66" s="87">
        <f t="shared" si="3"/>
        <v>0.9642857142857143</v>
      </c>
      <c r="O66" s="87"/>
      <c r="P66" s="87"/>
    </row>
    <row r="67" spans="1:16">
      <c r="A67" s="87" t="s">
        <v>684</v>
      </c>
      <c r="B67" s="87" t="str">
        <f t="shared" si="6"/>
        <v>15</v>
      </c>
      <c r="C67" s="87" t="str">
        <f>+MID(VLOOKUP(A67,'Info y Comunicación'!$B$13:$C$160,2,0),6,LEN(VLOOKUP(A67,'Info y Comunicación'!$B$13:$C$160,2,0))-6)</f>
        <v>La entidad analiza periódicamente su caracterización de usuarios o grupos de valor, a fin de actualizarla cuando sea pertinente</v>
      </c>
      <c r="D67" s="87" t="s">
        <v>669</v>
      </c>
      <c r="E67" s="87" t="str">
        <f>+VLOOKUP(A67,'Info y Comunicación'!$B$15:$K$138,3,0)</f>
        <v>Dimensión de Direccionamiento Estratégico y Planeación
Política de Planeación Institucional</v>
      </c>
      <c r="F67" s="87" t="str">
        <f>+VLOOKUP(A67,'Info y Comunicación'!$B$15:$K$138,10,0)</f>
        <v>Mantenimiento del control</v>
      </c>
      <c r="G67" s="87">
        <f>+VLOOKUP(A67,'Info y Comunicación'!$B$13:$N$160,13,0)</f>
        <v>305.63209999999998</v>
      </c>
      <c r="H67" s="89">
        <f t="shared" si="2"/>
        <v>66</v>
      </c>
      <c r="I67" s="87" t="str">
        <f t="shared" si="7"/>
        <v>Cuando en el análisis de los requerimientos en los diferenes componentes del MECI se cuente con aspectos evaluados en nivel 2 (presente) y 3 (funcionando).</v>
      </c>
      <c r="J67" s="87" t="s">
        <v>680</v>
      </c>
      <c r="K67" s="87">
        <f>+IF(ISBLANK(VLOOKUP(A67,'Info y Comunicación'!$B$19:$F$138,5,0)),"",VLOOKUP(A67,'Info y Comunicación'!$B$19:$F$138,5,0))</f>
        <v>3</v>
      </c>
      <c r="L67" s="87">
        <f>+IF(ISBLANK(VLOOKUP(A67,'Info y Comunicación'!$B$19:$J$138,9,0)),"",VLOOKUP(A67,'Info y Comunicación'!$B$19:$J$138,9,0))</f>
        <v>3</v>
      </c>
      <c r="M67" s="87">
        <f t="shared" si="4"/>
        <v>1</v>
      </c>
      <c r="N67" s="87">
        <f t="shared" si="3"/>
        <v>0.9642857142857143</v>
      </c>
      <c r="O67" s="87"/>
      <c r="P67" s="87"/>
    </row>
    <row r="68" spans="1:16">
      <c r="A68" s="87" t="s">
        <v>685</v>
      </c>
      <c r="B68" s="87" t="str">
        <f t="shared" si="6"/>
        <v>15</v>
      </c>
      <c r="C68" s="87" t="str">
        <f>+MID(VLOOKUP(A68,'Info y Comunicación'!$B$13:$C$160,2,0),6,LEN(VLOOKUP(A68,'Info y Comunicación'!$B$13:$C$160,2,0))-6)</f>
        <v>La entidad analiza periódicamente los resultados frente a la evaluación de percepción por parte de los usuarios o grupos de valor para la incorporación de las mejoras correspondientes</v>
      </c>
      <c r="D68" s="87" t="s">
        <v>669</v>
      </c>
      <c r="E68" s="87" t="str">
        <f>+VLOOKUP(A68,'Info y Comunicación'!$B$15:$K$138,3,0)</f>
        <v>Dimensión de Direccionamiento Estratégico y Planeación
Política de Planeación Institucional</v>
      </c>
      <c r="F68" s="87" t="str">
        <f>+VLOOKUP(A68,'Info y Comunicación'!$B$15:$K$138,10,0)</f>
        <v>Mantenimiento del control</v>
      </c>
      <c r="G68" s="87">
        <f>+VLOOKUP(A68,'Info y Comunicación'!$B$13:$N$160,13,0)</f>
        <v>305.78960000000001</v>
      </c>
      <c r="H68" s="89">
        <f t="shared" si="2"/>
        <v>67</v>
      </c>
      <c r="I68" s="87" t="str">
        <f t="shared" si="7"/>
        <v>Cuando en el análisis de los requerimientos en los diferenes componentes del MECI se cuente con aspectos evaluados en nivel 2 (presente) y 3 (funcionando).</v>
      </c>
      <c r="J68" s="87" t="s">
        <v>680</v>
      </c>
      <c r="K68" s="87">
        <f>+IF(ISBLANK(VLOOKUP(A68,'Info y Comunicación'!$B$19:$F$138,5,0)),"",VLOOKUP(A68,'Info y Comunicación'!$B$19:$F$138,5,0))</f>
        <v>3</v>
      </c>
      <c r="L68" s="87">
        <f>+IF(ISBLANK(VLOOKUP(A68,'Info y Comunicación'!$B$19:$J$138,9,0)),"",VLOOKUP(A68,'Info y Comunicación'!$B$19:$J$138,9,0))</f>
        <v>3</v>
      </c>
      <c r="M68" s="87">
        <f t="shared" ref="M68:M82" si="8">+IF(OR(AND(K68=1,L68=1),AND(ISBLANK(K68),ISBLANK(L68)),K68="",L68=""),0,IF(OR(AND(K68=1,L68=2),AND(K68=1,L68=3)),0.25,IF(OR(AND(K68=2,L68=2),AND(K68=3,L68=1),AND(K68=3,L68=2),AND(K68=2,L68=1)),0.5,IF(AND(K68=2,L68=3),0.75,1))))</f>
        <v>1</v>
      </c>
      <c r="N68" s="87">
        <f t="shared" si="3"/>
        <v>0.9642857142857143</v>
      </c>
      <c r="O68" s="87"/>
      <c r="P68" s="87"/>
    </row>
    <row r="69" spans="1:16">
      <c r="A69" s="87" t="s">
        <v>686</v>
      </c>
      <c r="B69" s="87" t="str">
        <f t="shared" si="6"/>
        <v>16</v>
      </c>
      <c r="C69" s="87" t="str">
        <f>+MID(VLOOKUP(A69,'Actividades de Monitoreo'!$B$13:$C$134,2,0),6,LEN(VLOOKUP(A69,'Actividades de Monitoreo'!$B$13:$C$134,2,0))-6)</f>
        <v>El Comité Institucional de Coordinación de Control Interno aprueba anualmente el Programa Anual de Auditoría presentado por el Director de Control Interno</v>
      </c>
      <c r="D69" s="87" t="s">
        <v>687</v>
      </c>
      <c r="E69" s="87" t="str">
        <f>+VLOOKUP(A69,'Actividades de Monitoreo'!$B$17:$K$134,3,0)</f>
        <v>Dimensión de Control Interno
Líneas Estratégica</v>
      </c>
      <c r="F69" s="87" t="str">
        <f>+VLOOKUP(A69,'Actividades de Monitoreo'!$B$17:$K$134,10,0)</f>
        <v>Mantenimiento del control</v>
      </c>
      <c r="G69" s="87">
        <f>+VLOOKUP(A69,'Actividades de Monitoreo'!$B$13:$N$134,13,0)</f>
        <v>385.87450000000001</v>
      </c>
      <c r="H69" s="89">
        <f t="shared" si="2"/>
        <v>68</v>
      </c>
      <c r="I69" s="87" t="str">
        <f t="shared" si="7"/>
        <v>Cuando en el análisis de los requerimientos en los diferenes componentes del MECI se cuente con aspectos evaluados en nivel 2 (presente) y 3 (funcionando).</v>
      </c>
      <c r="J69" s="87" t="s">
        <v>688</v>
      </c>
      <c r="K69" s="87">
        <f>+IF(ISBLANK(VLOOKUP(A69,'Actividades de Monitoreo'!$B$20:$F$134,5,0)),"",VLOOKUP(A69,'Actividades de Monitoreo'!$B$20:$F$134,5,0))</f>
        <v>3</v>
      </c>
      <c r="L69" s="87">
        <f>+IF(ISBLANK(VLOOKUP(A69,'Actividades de Monitoreo'!$B$20:$J$134,9,0)),"",VLOOKUP(A69,'Actividades de Monitoreo'!$B$20:$J$134,9,0))</f>
        <v>3</v>
      </c>
      <c r="M69" s="87">
        <f t="shared" si="8"/>
        <v>1</v>
      </c>
      <c r="N69" s="87">
        <f t="shared" si="3"/>
        <v>1</v>
      </c>
      <c r="O69" s="87"/>
      <c r="P69" s="87"/>
    </row>
    <row r="70" spans="1:16">
      <c r="A70" s="87" t="s">
        <v>689</v>
      </c>
      <c r="B70" s="87" t="str">
        <f t="shared" si="6"/>
        <v>16</v>
      </c>
      <c r="C70" s="87" t="str">
        <f>+MID(VLOOKUP(A70,'Actividades de Monitoreo'!$B$13:$C$134,2,0),6,LEN(VLOOKUP(A70,'Actividades de Monitoreo'!$B$13:$C$134,2,0))-6)</f>
        <v xml:space="preserve"> La Alta Dirección periódicamente evalúa los resultados de las evaluaciones (continuas e independientes)  para concluir acerca de la efectividad del Sistema de Control Intern</v>
      </c>
      <c r="D70" s="87" t="s">
        <v>687</v>
      </c>
      <c r="E70" s="87" t="str">
        <f>+VLOOKUP(A70,'Actividades de Monitoreo'!$B$17:$K$134,3,0)</f>
        <v>Dimensión de Control Interno
Líneas Estratégica</v>
      </c>
      <c r="F70" s="87" t="str">
        <f>+VLOOKUP(A70,'Actividades de Monitoreo'!$B$17:$K$134,10,0)</f>
        <v>Mantenimiento del control</v>
      </c>
      <c r="G70" s="87">
        <f>+VLOOKUP(A70,'Actividades de Monitoreo'!$B$13:$N$134,13,0)</f>
        <v>385.96539999999999</v>
      </c>
      <c r="H70" s="89">
        <f t="shared" si="2"/>
        <v>69</v>
      </c>
      <c r="I70" s="87" t="str">
        <f t="shared" si="7"/>
        <v>Cuando en el análisis de los requerimientos en los diferenes componentes del MECI se cuente con aspectos evaluados en nivel 2 (presente) y 3 (funcionando).</v>
      </c>
      <c r="J70" s="87" t="s">
        <v>688</v>
      </c>
      <c r="K70" s="87">
        <f>+IF(ISBLANK(VLOOKUP(A70,'Actividades de Monitoreo'!$B$20:$F$134,5,0)),"",VLOOKUP(A70,'Actividades de Monitoreo'!$B$20:$F$134,5,0))</f>
        <v>3</v>
      </c>
      <c r="L70" s="87">
        <f>+IF(ISBLANK(VLOOKUP(A70,'Actividades de Monitoreo'!$B$20:$J$134,9,0)),"",VLOOKUP(A70,'Actividades de Monitoreo'!$B$20:$J$134,9,0))</f>
        <v>3</v>
      </c>
      <c r="M70" s="87">
        <f t="shared" si="8"/>
        <v>1</v>
      </c>
      <c r="N70" s="87">
        <f t="shared" si="3"/>
        <v>1</v>
      </c>
      <c r="O70" s="87"/>
      <c r="P70" s="87"/>
    </row>
    <row r="71" spans="1:16">
      <c r="A71" s="87" t="s">
        <v>690</v>
      </c>
      <c r="B71" s="87" t="str">
        <f t="shared" si="6"/>
        <v>16</v>
      </c>
      <c r="C71" s="87" t="str">
        <f>+MID(VLOOKUP(A71,'Actividades de Monitoreo'!$B$13:$C$134,2,0),6,LEN(VLOOKUP(A71,'Actividades de Monitoreo'!$B$13:$C$134,2,0))-6)</f>
        <v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D71" s="87" t="s">
        <v>687</v>
      </c>
      <c r="E71" s="87" t="str">
        <f>+VLOOKUP(A71,'Actividades de Monitoreo'!$B$17:$K$134,3,0)</f>
        <v>Dimensión de Control Interno
Tercera Línea de Defensa</v>
      </c>
      <c r="F71" s="87" t="str">
        <f>+VLOOKUP(A71,'Actividades de Monitoreo'!$B$17:$K$134,10,0)</f>
        <v>Mantenimiento del control</v>
      </c>
      <c r="G71" s="87">
        <f>+VLOOKUP(A71,'Actividades de Monitoreo'!$B$13:$N$134,13,0)</f>
        <v>386.01229999999998</v>
      </c>
      <c r="H71" s="89">
        <f t="shared" ref="H71:H82" si="9">+_xlfn.RANK.EQ(G71,$G$2:$G$82,1)</f>
        <v>70</v>
      </c>
      <c r="I71" s="87" t="str">
        <f t="shared" si="7"/>
        <v>Cuando en el análisis de los requerimientos en los diferenes componentes del MECI se cuente con aspectos evaluados en nivel 2 (presente) y 3 (funcionando).</v>
      </c>
      <c r="J71" s="87" t="s">
        <v>688</v>
      </c>
      <c r="K71" s="87">
        <f>+IF(ISBLANK(VLOOKUP(A71,'Actividades de Monitoreo'!$B$20:$F$134,5,0)),"",VLOOKUP(A71,'Actividades de Monitoreo'!$B$20:$F$134,5,0))</f>
        <v>3</v>
      </c>
      <c r="L71" s="87">
        <f>+IF(ISBLANK(VLOOKUP(A71,'Actividades de Monitoreo'!$B$20:$J$134,9,0)),"",VLOOKUP(A71,'Actividades de Monitoreo'!$B$20:$J$134,9,0))</f>
        <v>3</v>
      </c>
      <c r="M71" s="87">
        <f t="shared" si="8"/>
        <v>1</v>
      </c>
      <c r="N71" s="87">
        <f t="shared" ref="N71:N82" si="10">+AVERAGEIF($D$2:$D$82,D71,$M$2:$M$82)</f>
        <v>1</v>
      </c>
      <c r="O71" s="87"/>
      <c r="P71" s="87"/>
    </row>
    <row r="72" spans="1:16">
      <c r="A72" s="87" t="s">
        <v>691</v>
      </c>
      <c r="B72" s="87" t="str">
        <f t="shared" si="6"/>
        <v>16</v>
      </c>
      <c r="C72" s="87" t="str">
        <f>+MID(VLOOKUP(A72,'Actividades de Monitoreo'!$B$13:$C$134,2,0),6,LEN(VLOOKUP(A72,'Actividades de Monitoreo'!$B$13:$C$134,2,0))-6)</f>
        <v>Acorde con el Esquema de Líneas de Defensa se han implementado procedimientos de monitoreo continuo como parte de las actividades de la 2a línea de defensa, a fin de contar con información clave para la toma de decisiones</v>
      </c>
      <c r="D72" s="87" t="s">
        <v>687</v>
      </c>
      <c r="E72" s="87" t="str">
        <f>+VLOOKUP(A72,'Actividades de Monitoreo'!$B$17:$K$134,3,0)</f>
        <v>Dimensión de Control Interno
Segunda Línea de Defensa</v>
      </c>
      <c r="F72" s="87" t="str">
        <f>+VLOOKUP(A72,'Actividades de Monitoreo'!$B$17:$K$134,10,0)</f>
        <v>Mantenimiento del control</v>
      </c>
      <c r="G72" s="87">
        <f>+VLOOKUP(A72,'Actividades de Monitoreo'!$B$13:$N$134,13,0)</f>
        <v>386.12360000000001</v>
      </c>
      <c r="H72" s="89">
        <f t="shared" si="9"/>
        <v>71</v>
      </c>
      <c r="I72" s="87" t="str">
        <f t="shared" si="7"/>
        <v>Cuando en el análisis de los requerimientos en los diferenes componentes del MECI se cuente con aspectos evaluados en nivel 2 (presente) y 3 (funcionando).</v>
      </c>
      <c r="J72" s="87" t="s">
        <v>688</v>
      </c>
      <c r="K72" s="87">
        <f>+IF(ISBLANK(VLOOKUP(A72,'Actividades de Monitoreo'!$B$20:$F$134,5,0)),"",VLOOKUP(A72,'Actividades de Monitoreo'!$B$20:$F$134,5,0))</f>
        <v>3</v>
      </c>
      <c r="L72" s="87">
        <f>+IF(ISBLANK(VLOOKUP(A72,'Actividades de Monitoreo'!$B$20:$J$134,9,0)),"",VLOOKUP(A72,'Actividades de Monitoreo'!$B$20:$J$134,9,0))</f>
        <v>3</v>
      </c>
      <c r="M72" s="87">
        <f t="shared" si="8"/>
        <v>1</v>
      </c>
      <c r="N72" s="87">
        <f t="shared" si="10"/>
        <v>1</v>
      </c>
      <c r="O72" s="87"/>
      <c r="P72" s="87"/>
    </row>
    <row r="73" spans="1:16">
      <c r="A73" s="87" t="s">
        <v>692</v>
      </c>
      <c r="B73" s="87" t="str">
        <f t="shared" si="6"/>
        <v>16</v>
      </c>
      <c r="C73" s="87" t="str">
        <f>+MID(VLOOKUP(A73,'Actividades de Monitoreo'!$B$13:$C$134,2,0),6,LEN(VLOOKUP(A73,'Actividades de Monitoreo'!$B$13:$C$134,2,0))-6)</f>
        <v>Frente a las evaluaciones independientes la entidad considera evaluaciones externas de organismos de control, de vigilancia, certificadores, ONG´s u otros que permitan tener una mirada independiente de las operaciones</v>
      </c>
      <c r="D73" s="87" t="s">
        <v>687</v>
      </c>
      <c r="E73" s="87" t="str">
        <f>+VLOOKUP(A73,'Actividades de Monitoreo'!$B$17:$K$134,3,0)</f>
        <v>Dimensión de Control Interno
Líneas de Defensa</v>
      </c>
      <c r="F73" s="87" t="str">
        <f>+VLOOKUP(A73,'Actividades de Monitoreo'!$B$17:$K$134,10,0)</f>
        <v>Mantenimiento del control</v>
      </c>
      <c r="G73" s="87">
        <f>+VLOOKUP(A73,'Actividades de Monitoreo'!$B$13:$N$134,13,0)</f>
        <v>386.21359999999999</v>
      </c>
      <c r="H73" s="89">
        <f t="shared" si="9"/>
        <v>72</v>
      </c>
      <c r="I73" s="87" t="str">
        <f t="shared" si="7"/>
        <v>Cuando en el análisis de los requerimientos en los diferenes componentes del MECI se cuente con aspectos evaluados en nivel 2 (presente) y 3 (funcionando).</v>
      </c>
      <c r="J73" s="87" t="s">
        <v>688</v>
      </c>
      <c r="K73" s="87">
        <f>+IF(ISBLANK(VLOOKUP(A73,'Actividades de Monitoreo'!$B$20:$F$134,5,0)),"",VLOOKUP(A73,'Actividades de Monitoreo'!$B$20:$F$134,5,0))</f>
        <v>3</v>
      </c>
      <c r="L73" s="87">
        <f>+IF(ISBLANK(VLOOKUP(A73,'Actividades de Monitoreo'!$B$20:$J$134,9,0)),"",VLOOKUP(A73,'Actividades de Monitoreo'!$B$20:$J$134,9,0))</f>
        <v>3</v>
      </c>
      <c r="M73" s="87">
        <f t="shared" si="8"/>
        <v>1</v>
      </c>
      <c r="N73" s="87">
        <f t="shared" si="10"/>
        <v>1</v>
      </c>
      <c r="O73" s="87"/>
      <c r="P73" s="87"/>
    </row>
    <row r="74" spans="1:16">
      <c r="A74" s="87" t="s">
        <v>693</v>
      </c>
      <c r="B74" s="87" t="str">
        <f t="shared" si="6"/>
        <v>17</v>
      </c>
      <c r="C74" s="87" t="str">
        <f>+MID(VLOOKUP(A74,'Actividades de Monitoreo'!$B$13:$C$134,2,0),6,LEN(VLOOKUP(A74,'Actividades de Monitoreo'!$B$13:$C$134,2,0))-6)</f>
        <v>A partir de la información de las evaluaciones independientes, se evalúan para determinar su efecto en el Sistema de Control Interno de la entidad y su impacto en el logro de los objetivos, a fin de determinar cursos de acción para su mejora</v>
      </c>
      <c r="D74" s="87" t="s">
        <v>687</v>
      </c>
      <c r="E74" s="87" t="str">
        <f>+VLOOKUP(A74,'Actividades de Monitoreo'!$B$17:$K$134,3,0)</f>
        <v>Dimensión de Control Interno
Líneas de Defensa</v>
      </c>
      <c r="F74" s="87" t="str">
        <f>+VLOOKUP(A74,'Actividades de Monitoreo'!$B$17:$K$134,10,0)</f>
        <v>Mantenimiento del control</v>
      </c>
      <c r="G74" s="87">
        <f>+VLOOKUP(A74,'Actividades de Monitoreo'!$B$13:$N$134,13,0)</f>
        <v>386.32580000000002</v>
      </c>
      <c r="H74" s="89">
        <f t="shared" si="9"/>
        <v>73</v>
      </c>
      <c r="I74" s="87" t="str">
        <f t="shared" si="7"/>
        <v>Cuando en el análisis de los requerimientos en los diferenes componentes del MECI se cuente con aspectos evaluados en nivel 2 (presente) y 3 (funcionando).</v>
      </c>
      <c r="J74" s="87" t="s">
        <v>694</v>
      </c>
      <c r="K74" s="87">
        <f>+IF(ISBLANK(VLOOKUP(A74,'Actividades de Monitoreo'!$B$20:$F$134,5,0)),"",VLOOKUP(A74,'Actividades de Monitoreo'!$B$20:$F$134,5,0))</f>
        <v>3</v>
      </c>
      <c r="L74" s="87">
        <f>+IF(ISBLANK(VLOOKUP(A74,'Actividades de Monitoreo'!$B$20:$J$134,9,0)),"",VLOOKUP(A74,'Actividades de Monitoreo'!$B$20:$J$134,9,0))</f>
        <v>3</v>
      </c>
      <c r="M74" s="87">
        <f t="shared" si="8"/>
        <v>1</v>
      </c>
      <c r="N74" s="87">
        <f t="shared" si="10"/>
        <v>1</v>
      </c>
      <c r="O74" s="87"/>
      <c r="P74" s="87"/>
    </row>
    <row r="75" spans="1:16">
      <c r="A75" s="87" t="s">
        <v>695</v>
      </c>
      <c r="B75" s="87" t="str">
        <f t="shared" si="6"/>
        <v>17</v>
      </c>
      <c r="C75" s="87" t="str">
        <f>+MID(VLOOKUP(A75,'Actividades de Monitoreo'!$B$13:$C$134,2,0),6,LEN(VLOOKUP(A75,'Actividades de Monitoreo'!$B$13:$C$134,2,0))-6)</f>
        <v>Los informes recibidos de entes externos (organismos de control, auditores externos, entidades de vigilancia entre otros) se consolidan y se concluye sobre el impacto en el Sistema de Control Interno, a fin de determinar los cursos de acción</v>
      </c>
      <c r="D75" s="87" t="s">
        <v>687</v>
      </c>
      <c r="E75" s="87" t="str">
        <f>+VLOOKUP(A75,'Actividades de Monitoreo'!$B$17:$K$134,3,0)</f>
        <v>Dimensión de Control Interno
Líneas de Defensa</v>
      </c>
      <c r="F75" s="87" t="str">
        <f>+VLOOKUP(A75,'Actividades de Monitoreo'!$B$17:$K$134,10,0)</f>
        <v>Mantenimiento del control</v>
      </c>
      <c r="G75" s="87">
        <f>+VLOOKUP(A75,'Actividades de Monitoreo'!$B$13:$N$134,13,0)</f>
        <v>386.45690000000002</v>
      </c>
      <c r="H75" s="89">
        <f t="shared" si="9"/>
        <v>74</v>
      </c>
      <c r="I75" s="87" t="str">
        <f t="shared" si="7"/>
        <v>Cuando en el análisis de los requerimientos en los diferenes componentes del MECI se cuente con aspectos evaluados en nivel 2 (presente) y 3 (funcionando).</v>
      </c>
      <c r="J75" s="87" t="s">
        <v>694</v>
      </c>
      <c r="K75" s="87">
        <f>+IF(ISBLANK(VLOOKUP(A75,'Actividades de Monitoreo'!$B$20:$F$134,5,0)),"",VLOOKUP(A75,'Actividades de Monitoreo'!$B$20:$F$134,5,0))</f>
        <v>3</v>
      </c>
      <c r="L75" s="87">
        <f>+IF(ISBLANK(VLOOKUP(A75,'Actividades de Monitoreo'!$B$20:$J$134,9,0)),"",VLOOKUP(A75,'Actividades de Monitoreo'!$B$20:$J$134,9,0))</f>
        <v>3</v>
      </c>
      <c r="M75" s="87">
        <f t="shared" si="8"/>
        <v>1</v>
      </c>
      <c r="N75" s="87">
        <f t="shared" si="10"/>
        <v>1</v>
      </c>
      <c r="O75" s="87"/>
      <c r="P75" s="87"/>
    </row>
    <row r="76" spans="1:16">
      <c r="A76" s="87" t="s">
        <v>696</v>
      </c>
      <c r="B76" s="87" t="str">
        <f t="shared" si="6"/>
        <v>17</v>
      </c>
      <c r="C76" s="87" t="str">
        <f>+MID(VLOOKUP(A76,'Actividades de Monitoreo'!$B$13:$C$134,2,0),6,LEN(VLOOKUP(A76,'Actividades de Monitoreo'!$B$13:$C$134,2,0))-6)</f>
        <v>La entidad cuenta con políticas donde se establezca a quién reportar las deficiencias de control interno como resultado del monitoreo continuo</v>
      </c>
      <c r="D76" s="87" t="s">
        <v>687</v>
      </c>
      <c r="E76" s="87" t="str">
        <f>+VLOOKUP(A76,'Actividades de Monitoreo'!$B$17:$K$134,3,0)</f>
        <v>Dimensión de Control Interno
Líneas de Defensa</v>
      </c>
      <c r="F76" s="87" t="str">
        <f>+VLOOKUP(A76,'Actividades de Monitoreo'!$B$17:$K$134,10,0)</f>
        <v>Mantenimiento del control</v>
      </c>
      <c r="G76" s="87">
        <f>+VLOOKUP(A76,'Actividades de Monitoreo'!$B$13:$N$134,13,0)</f>
        <v>386.56319999999999</v>
      </c>
      <c r="H76" s="89">
        <f t="shared" si="9"/>
        <v>75</v>
      </c>
      <c r="I76" s="87" t="str">
        <f t="shared" si="7"/>
        <v>Cuando en el análisis de los requerimientos en los diferenes componentes del MECI se cuente con aspectos evaluados en nivel 2 (presente) y 3 (funcionando).</v>
      </c>
      <c r="J76" s="87" t="s">
        <v>694</v>
      </c>
      <c r="K76" s="87">
        <f>+IF(ISBLANK(VLOOKUP(A76,'Actividades de Monitoreo'!$B$20:$F$134,5,0)),"",VLOOKUP(A76,'Actividades de Monitoreo'!$B$20:$F$134,5,0))</f>
        <v>3</v>
      </c>
      <c r="L76" s="87">
        <f>+IF(ISBLANK(VLOOKUP(A76,'Actividades de Monitoreo'!$B$20:$J$134,9,0)),"",VLOOKUP(A76,'Actividades de Monitoreo'!$B$20:$J$134,9,0))</f>
        <v>3</v>
      </c>
      <c r="M76" s="87">
        <f t="shared" si="8"/>
        <v>1</v>
      </c>
      <c r="N76" s="87">
        <f t="shared" si="10"/>
        <v>1</v>
      </c>
      <c r="O76" s="87"/>
      <c r="P76" s="87"/>
    </row>
    <row r="77" spans="1:16">
      <c r="A77" s="87" t="s">
        <v>697</v>
      </c>
      <c r="B77" s="87" t="str">
        <f t="shared" si="6"/>
        <v>17</v>
      </c>
      <c r="C77" s="87" t="str">
        <f>+MID(VLOOKUP(A77,'Actividades de Monitoreo'!$B$13:$C$134,2,0),6,LEN(VLOOKUP(A77,'Actividades de Monitoreo'!$B$13:$C$134,2,0))-6)</f>
        <v>La Alta Dirección hace seguimiento a las acciones correctivas relacionadas con las deficiencias comunicadas sobre el Sistema de Control Interno y si se han cumplido en el tiempo establecido</v>
      </c>
      <c r="D77" s="87" t="s">
        <v>687</v>
      </c>
      <c r="E77" s="87" t="str">
        <f>+VLOOKUP(A77,'Actividades de Monitoreo'!$B$17:$K$134,3,0)</f>
        <v>Dimensión de Control Interno
Líneas de Defensa</v>
      </c>
      <c r="F77" s="87" t="str">
        <f>+VLOOKUP(A77,'Actividades de Monitoreo'!$B$17:$K$134,10,0)</f>
        <v>Mantenimiento del control</v>
      </c>
      <c r="G77" s="87">
        <f>+VLOOKUP(A77,'Actividades de Monitoreo'!$B$13:$N$134,13,0)</f>
        <v>386.78539999999998</v>
      </c>
      <c r="H77" s="89">
        <f t="shared" si="9"/>
        <v>76</v>
      </c>
      <c r="I77" s="87" t="str">
        <f t="shared" si="7"/>
        <v>Cuando en el análisis de los requerimientos en los diferenes componentes del MECI se cuente con aspectos evaluados en nivel 2 (presente) y 3 (funcionando).</v>
      </c>
      <c r="J77" s="87" t="s">
        <v>694</v>
      </c>
      <c r="K77" s="87">
        <f>+IF(ISBLANK(VLOOKUP(A77,'Actividades de Monitoreo'!$B$20:$F$134,5,0)),"",VLOOKUP(A77,'Actividades de Monitoreo'!$B$20:$F$134,5,0))</f>
        <v>3</v>
      </c>
      <c r="L77" s="87">
        <f>+IF(ISBLANK(VLOOKUP(A77,'Actividades de Monitoreo'!$B$20:$J$134,9,0)),"",VLOOKUP(A77,'Actividades de Monitoreo'!$B$20:$J$134,9,0))</f>
        <v>3</v>
      </c>
      <c r="M77" s="87">
        <f t="shared" si="8"/>
        <v>1</v>
      </c>
      <c r="N77" s="87">
        <f t="shared" si="10"/>
        <v>1</v>
      </c>
      <c r="O77" s="87"/>
      <c r="P77" s="87"/>
    </row>
    <row r="78" spans="1:16">
      <c r="A78" s="87" t="s">
        <v>698</v>
      </c>
      <c r="B78" s="87" t="str">
        <f t="shared" si="6"/>
        <v>17</v>
      </c>
      <c r="C78" s="87" t="str">
        <f>+MID(VLOOKUP(A78,'Actividades de Monitoreo'!$B$13:$C$134,2,0),6,LEN(VLOOKUP(A78,'Actividades de Monitoreo'!$B$13:$C$134,2,0))-6)</f>
        <v>Los procesos y/o servicios tercerizados, son evaluados acorde con su nivel de riesgos</v>
      </c>
      <c r="D78" s="87" t="s">
        <v>687</v>
      </c>
      <c r="E78" s="87" t="str">
        <f>+VLOOKUP(A78,'Actividades de Monitoreo'!$B$17:$K$134,3,0)</f>
        <v>Dimensión de Control Interno
Líneas de Defensa</v>
      </c>
      <c r="F78" s="87" t="str">
        <f>+VLOOKUP(A78,'Actividades de Monitoreo'!$B$17:$K$134,10,0)</f>
        <v>Mantenimiento del control</v>
      </c>
      <c r="G78" s="87">
        <f>+VLOOKUP(A78,'Actividades de Monitoreo'!$B$13:$N$134,13,0)</f>
        <v>386.87450000000001</v>
      </c>
      <c r="H78" s="89">
        <f t="shared" si="9"/>
        <v>77</v>
      </c>
      <c r="I78" s="87" t="str">
        <f t="shared" si="7"/>
        <v>Cuando en el análisis de los requerimientos en los diferenes componentes del MECI se cuente con aspectos evaluados en nivel 2 (presente) y 3 (funcionando).</v>
      </c>
      <c r="J78" s="87" t="s">
        <v>694</v>
      </c>
      <c r="K78" s="87">
        <f>+IF(ISBLANK(VLOOKUP(A78,'Actividades de Monitoreo'!$B$20:$F$134,5,0)),"",VLOOKUP(A78,'Actividades de Monitoreo'!$B$20:$F$134,5,0))</f>
        <v>3</v>
      </c>
      <c r="L78" s="87">
        <f>+IF(ISBLANK(VLOOKUP(A78,'Actividades de Monitoreo'!$B$20:$J$134,9,0)),"",VLOOKUP(A78,'Actividades de Monitoreo'!$B$20:$J$134,9,0))</f>
        <v>3</v>
      </c>
      <c r="M78" s="87">
        <f t="shared" si="8"/>
        <v>1</v>
      </c>
      <c r="N78" s="87">
        <f t="shared" si="10"/>
        <v>1</v>
      </c>
      <c r="O78" s="87"/>
      <c r="P78" s="87"/>
    </row>
    <row r="79" spans="1:16">
      <c r="A79" s="87" t="s">
        <v>699</v>
      </c>
      <c r="B79" s="87" t="str">
        <f t="shared" si="6"/>
        <v>17</v>
      </c>
      <c r="C79" s="87" t="str">
        <f>+MID(VLOOKUP(A79,'Actividades de Monitoreo'!$B$13:$C$134,2,0),6,LEN(VLOOKUP(A79,'Actividades de Monitoreo'!$B$13:$C$134,2,0))-6)</f>
        <v>Se evalúa la información suministrada por los usuarios (Sistema PQRD), así como de otras partes interesadas para la mejora del  Sistema de Control Interno de la Entidad</v>
      </c>
      <c r="D79" s="87" t="s">
        <v>687</v>
      </c>
      <c r="E79" s="87" t="str">
        <f>+VLOOKUP(A79,'Actividades de Monitoreo'!$B$17:$K$134,3,0)</f>
        <v xml:space="preserve">
Dimensión de Información y Comunicación 
Dimensión de Control Interno
Líneas de Defensa</v>
      </c>
      <c r="F79" s="87" t="str">
        <f>+VLOOKUP(A79,'Actividades de Monitoreo'!$B$17:$K$134,10,0)</f>
        <v>Mantenimiento del control</v>
      </c>
      <c r="G79" s="87">
        <f>+VLOOKUP(A79,'Actividades de Monitoreo'!$B$13:$N$134,13,0)</f>
        <v>386.98739999999998</v>
      </c>
      <c r="H79" s="89">
        <f t="shared" si="9"/>
        <v>78</v>
      </c>
      <c r="I79" s="87" t="str">
        <f t="shared" si="7"/>
        <v>Cuando en el análisis de los requerimientos en los diferenes componentes del MECI se cuente con aspectos evaluados en nivel 2 (presente) y 3 (funcionando).</v>
      </c>
      <c r="J79" s="87" t="s">
        <v>694</v>
      </c>
      <c r="K79" s="87">
        <f>+IF(ISBLANK(VLOOKUP(A79,'Actividades de Monitoreo'!$B$20:$F$134,5,0)),"",VLOOKUP(A79,'Actividades de Monitoreo'!$B$20:$F$134,5,0))</f>
        <v>3</v>
      </c>
      <c r="L79" s="87">
        <f>+IF(ISBLANK(VLOOKUP(A79,'Actividades de Monitoreo'!$B$20:$J$134,9,0)),"",VLOOKUP(A79,'Actividades de Monitoreo'!$B$20:$J$134,9,0))</f>
        <v>3</v>
      </c>
      <c r="M79" s="87">
        <f t="shared" si="8"/>
        <v>1</v>
      </c>
      <c r="N79" s="87">
        <f t="shared" si="10"/>
        <v>1</v>
      </c>
      <c r="O79" s="87"/>
      <c r="P79" s="87"/>
    </row>
    <row r="80" spans="1:16">
      <c r="A80" s="87" t="s">
        <v>700</v>
      </c>
      <c r="B80" s="87" t="str">
        <f t="shared" si="6"/>
        <v>17</v>
      </c>
      <c r="C80" s="87" t="str">
        <f>+MID(VLOOKUP(A80,'Actividades de Monitoreo'!$B$13:$C$134,2,0),6,LEN(VLOOKUP(A80,'Actividades de Monitoreo'!$B$13:$C$134,2,0))-6)</f>
        <v>Verificación del avance y cumplimiento de las acciones incluidas en los planes de mejoramiento producto de las autoevaluaciones. (2ª Línea).</v>
      </c>
      <c r="D80" s="87" t="s">
        <v>687</v>
      </c>
      <c r="E80" s="87" t="str">
        <f>+VLOOKUP(A80,'Actividades de Monitoreo'!$B$17:$K$134,3,0)</f>
        <v xml:space="preserve">
Dimensión de Control Interno
Líneas de Defensa</v>
      </c>
      <c r="F80" s="87" t="str">
        <f>+VLOOKUP(A80,'Actividades de Monitoreo'!$B$17:$K$134,10,0)</f>
        <v>Mantenimiento del control</v>
      </c>
      <c r="G80" s="87">
        <f>+VLOOKUP(A80,'Actividades de Monitoreo'!$B$13:$N$134,13,0)</f>
        <v>386.98745000000002</v>
      </c>
      <c r="H80" s="89">
        <f t="shared" si="9"/>
        <v>79</v>
      </c>
      <c r="I80" s="87" t="str">
        <f t="shared" si="7"/>
        <v>Cuando en el análisis de los requerimientos en los diferenes componentes del MECI se cuente con aspectos evaluados en nivel 2 (presente) y 3 (funcionando).</v>
      </c>
      <c r="J80" s="87" t="s">
        <v>694</v>
      </c>
      <c r="K80" s="87">
        <f>+IF(ISBLANK(VLOOKUP(A80,'Actividades de Monitoreo'!$B$20:$F$134,5,0)),"",VLOOKUP(A80,'Actividades de Monitoreo'!$B$20:$F$134,5,0))</f>
        <v>3</v>
      </c>
      <c r="L80" s="87">
        <f>+IF(ISBLANK(VLOOKUP(A80,'Actividades de Monitoreo'!$B$20:$J$134,9,0)),"",VLOOKUP(A80,'Actividades de Monitoreo'!$B$20:$J$134,9,0))</f>
        <v>3</v>
      </c>
      <c r="M80" s="87">
        <f t="shared" si="8"/>
        <v>1</v>
      </c>
      <c r="N80" s="87">
        <f t="shared" si="10"/>
        <v>1</v>
      </c>
      <c r="O80" s="87"/>
      <c r="P80" s="87"/>
    </row>
    <row r="81" spans="1:16">
      <c r="A81" s="87" t="s">
        <v>701</v>
      </c>
      <c r="B81" s="87" t="str">
        <f t="shared" si="6"/>
        <v>17</v>
      </c>
      <c r="C81" s="87" t="str">
        <f>+MID(VLOOKUP(A81,'Actividades de Monitoreo'!$B$13:$C$134,2,0),6,LEN(VLOOKUP(A81,'Actividades de Monitoreo'!$B$13:$C$134,2,0))-6)</f>
        <v>Evaluación de la efectividad de las acciones incluidas en los Planes de mejoramiento producto de las auditorías internas y de entes externos. (3ª Línea</v>
      </c>
      <c r="D81" s="87" t="s">
        <v>687</v>
      </c>
      <c r="E81" s="87" t="str">
        <f>+VLOOKUP(A81,'Actividades de Monitoreo'!$B$17:$K$134,3,0)</f>
        <v xml:space="preserve">
Dimensión de Control Interno
Líneas de Defensa</v>
      </c>
      <c r="F81" s="87" t="str">
        <f>+VLOOKUP(A81,'Actividades de Monitoreo'!$B$17:$K$134,10,0)</f>
        <v>Mantenimiento del control</v>
      </c>
      <c r="G81" s="87">
        <f>+VLOOKUP(A81,'Actividades de Monitoreo'!$B$13:$N$134,13,0)</f>
        <v>386.98745600000001</v>
      </c>
      <c r="H81" s="89">
        <f t="shared" si="9"/>
        <v>80</v>
      </c>
      <c r="I81" s="87" t="str">
        <f t="shared" si="7"/>
        <v>Cuando en el análisis de los requerimientos en los diferenes componentes del MECI se cuente con aspectos evaluados en nivel 2 (presente) y 3 (funcionando).</v>
      </c>
      <c r="J81" s="87" t="s">
        <v>694</v>
      </c>
      <c r="K81" s="87">
        <f>+IF(ISBLANK(VLOOKUP(A81,'Actividades de Monitoreo'!$B$20:$F$134,5,0)),"",VLOOKUP(A81,'Actividades de Monitoreo'!$B$20:$F$134,5,0))</f>
        <v>3</v>
      </c>
      <c r="L81" s="87">
        <f>+IF(ISBLANK(VLOOKUP(A81,'Actividades de Monitoreo'!$B$20:$J$134,9,0)),"",VLOOKUP(A81,'Actividades de Monitoreo'!$B$20:$J$134,9,0))</f>
        <v>3</v>
      </c>
      <c r="M81" s="87">
        <f t="shared" si="8"/>
        <v>1</v>
      </c>
      <c r="N81" s="87">
        <f t="shared" si="10"/>
        <v>1</v>
      </c>
      <c r="O81" s="87"/>
      <c r="P81" s="87"/>
    </row>
    <row r="82" spans="1:16">
      <c r="A82" s="87" t="s">
        <v>702</v>
      </c>
      <c r="B82" s="87" t="str">
        <f t="shared" si="6"/>
        <v>17</v>
      </c>
      <c r="C82" s="87" t="str">
        <f>+MID(VLOOKUP(A82,'Actividades de Monitoreo'!$B$13:$C$134,2,0),6,LEN(VLOOKUP(A82,'Actividades de Monitoreo'!$B$13:$C$134,2,0))-6)</f>
        <v>Las deficiencias de control interno son reportadas a los responsables de nivel jerárquico superior, para tomar la acciones correspondientes</v>
      </c>
      <c r="D82" s="87" t="s">
        <v>687</v>
      </c>
      <c r="E82" s="87" t="str">
        <f>+VLOOKUP(A82,'Actividades de Monitoreo'!$B$17:$K$134,3,0)</f>
        <v xml:space="preserve">
Dimensión de Control Interno
Líneas de Defensa</v>
      </c>
      <c r="F82" s="87" t="str">
        <f>+VLOOKUP(A82,'Actividades de Monitoreo'!$B$17:$K$134,10,0)</f>
        <v>Mantenimiento del control</v>
      </c>
      <c r="G82" s="87">
        <f>+VLOOKUP(A82,'Actividades de Monitoreo'!$B$13:$N$134,13,0)</f>
        <v>387.01229999999998</v>
      </c>
      <c r="H82" s="89">
        <f t="shared" si="9"/>
        <v>81</v>
      </c>
      <c r="I82" s="87" t="str">
        <f t="shared" si="7"/>
        <v>Cuando en el análisis de los requerimientos en los diferenes componentes del MECI se cuente con aspectos evaluados en nivel 2 (presente) y 3 (funcionando).</v>
      </c>
      <c r="J82" s="87" t="s">
        <v>694</v>
      </c>
      <c r="K82" s="87">
        <f>+IF(ISBLANK(VLOOKUP(A82,'Actividades de Monitoreo'!$B$20:$F$134,5,0)),"",VLOOKUP(A82,'Actividades de Monitoreo'!$B$20:$F$134,5,0))</f>
        <v>3</v>
      </c>
      <c r="L82" s="87">
        <f>+IF(ISBLANK(VLOOKUP(A82,'Actividades de Monitoreo'!$B$20:$J$134,9,0)),"",VLOOKUP(A82,'Actividades de Monitoreo'!$B$20:$J$134,9,0))</f>
        <v>3</v>
      </c>
      <c r="M82" s="87">
        <f t="shared" si="8"/>
        <v>1</v>
      </c>
      <c r="N82" s="87">
        <f t="shared" si="10"/>
        <v>1</v>
      </c>
      <c r="O82" s="87"/>
      <c r="P82" s="87"/>
    </row>
  </sheetData>
  <sheetProtection password="D72A"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L39"/>
  <sheetViews>
    <sheetView showGridLines="0" zoomScale="115" zoomScaleNormal="115" workbookViewId="0">
      <pane xSplit="1" ySplit="4" topLeftCell="B5" activePane="bottomRight" state="frozen"/>
      <selection pane="topRight" activeCell="B1" sqref="B1"/>
      <selection pane="bottomLeft" activeCell="A11" sqref="A11"/>
      <selection pane="bottomRight" activeCell="C6" sqref="C6"/>
    </sheetView>
  </sheetViews>
  <sheetFormatPr baseColWidth="10" defaultColWidth="11.42578125" defaultRowHeight="16.5"/>
  <cols>
    <col min="1" max="1" width="3.5703125" style="16" customWidth="1"/>
    <col min="2" max="2" width="36.42578125" style="16" customWidth="1"/>
    <col min="3" max="3" width="67.140625" style="20" customWidth="1"/>
    <col min="4" max="16384" width="11.42578125" style="16"/>
  </cols>
  <sheetData>
    <row r="2" spans="2:12">
      <c r="B2" s="376" t="s">
        <v>38</v>
      </c>
      <c r="C2" s="376"/>
      <c r="D2" s="15"/>
      <c r="E2" s="15"/>
      <c r="F2" s="15"/>
      <c r="G2" s="15"/>
      <c r="H2" s="15"/>
      <c r="I2" s="15"/>
      <c r="J2" s="15"/>
      <c r="K2" s="15"/>
      <c r="L2" s="15"/>
    </row>
    <row r="4" spans="2:12">
      <c r="B4" s="21" t="s">
        <v>39</v>
      </c>
      <c r="C4" s="22" t="s">
        <v>5</v>
      </c>
    </row>
    <row r="5" spans="2:12" ht="66">
      <c r="B5" s="51" t="s">
        <v>40</v>
      </c>
      <c r="C5" s="17" t="s">
        <v>41</v>
      </c>
    </row>
    <row r="6" spans="2:12" ht="46.5" customHeight="1">
      <c r="B6" s="52" t="s">
        <v>42</v>
      </c>
      <c r="C6" s="18" t="s">
        <v>43</v>
      </c>
    </row>
    <row r="7" spans="2:12" ht="66">
      <c r="B7" s="53" t="s">
        <v>44</v>
      </c>
      <c r="C7" s="19" t="s">
        <v>45</v>
      </c>
    </row>
    <row r="8" spans="2:12" ht="49.5">
      <c r="B8" s="54" t="s">
        <v>46</v>
      </c>
      <c r="C8" s="19" t="s">
        <v>47</v>
      </c>
    </row>
    <row r="9" spans="2:12" ht="49.5">
      <c r="B9" s="54" t="s">
        <v>48</v>
      </c>
      <c r="C9" s="19" t="s">
        <v>49</v>
      </c>
    </row>
    <row r="10" spans="2:12">
      <c r="B10" s="53" t="s">
        <v>50</v>
      </c>
      <c r="C10" s="19" t="s">
        <v>51</v>
      </c>
    </row>
    <row r="11" spans="2:12" ht="132">
      <c r="B11" s="53" t="s">
        <v>52</v>
      </c>
      <c r="C11" s="19" t="s">
        <v>53</v>
      </c>
    </row>
    <row r="12" spans="2:12" ht="66">
      <c r="B12" s="53" t="s">
        <v>54</v>
      </c>
      <c r="C12" s="19" t="s">
        <v>55</v>
      </c>
    </row>
    <row r="13" spans="2:12" ht="49.5">
      <c r="B13" s="53" t="s">
        <v>56</v>
      </c>
      <c r="C13" s="19" t="s">
        <v>57</v>
      </c>
    </row>
    <row r="14" spans="2:12" ht="66">
      <c r="B14" s="54" t="s">
        <v>58</v>
      </c>
      <c r="C14" s="50" t="s">
        <v>59</v>
      </c>
    </row>
    <row r="15" spans="2:12" ht="33">
      <c r="B15" s="54" t="s">
        <v>60</v>
      </c>
      <c r="C15" s="50" t="s">
        <v>61</v>
      </c>
    </row>
    <row r="16" spans="2:12" ht="66">
      <c r="B16" s="54" t="s">
        <v>62</v>
      </c>
      <c r="C16" s="50" t="s">
        <v>63</v>
      </c>
    </row>
    <row r="17" spans="2:3" ht="33">
      <c r="B17" s="54" t="s">
        <v>64</v>
      </c>
      <c r="C17" s="50" t="s">
        <v>65</v>
      </c>
    </row>
    <row r="18" spans="2:3">
      <c r="B18" s="54" t="s">
        <v>66</v>
      </c>
      <c r="C18" s="50" t="s">
        <v>67</v>
      </c>
    </row>
    <row r="19" spans="2:3" ht="33">
      <c r="B19" s="54" t="s">
        <v>68</v>
      </c>
      <c r="C19" s="50" t="s">
        <v>69</v>
      </c>
    </row>
    <row r="20" spans="2:3" ht="33">
      <c r="B20" s="53" t="s">
        <v>70</v>
      </c>
      <c r="C20" s="19" t="s">
        <v>71</v>
      </c>
    </row>
    <row r="21" spans="2:3" ht="66">
      <c r="B21" s="53" t="s">
        <v>72</v>
      </c>
      <c r="C21" s="19" t="s">
        <v>73</v>
      </c>
    </row>
    <row r="22" spans="2:3" ht="82.5">
      <c r="B22" s="53" t="s">
        <v>74</v>
      </c>
      <c r="C22" s="19" t="s">
        <v>75</v>
      </c>
    </row>
    <row r="23" spans="2:3" ht="66">
      <c r="B23" s="53" t="s">
        <v>76</v>
      </c>
      <c r="C23" s="19" t="s">
        <v>77</v>
      </c>
    </row>
    <row r="24" spans="2:3" ht="99">
      <c r="B24" s="53" t="s">
        <v>78</v>
      </c>
      <c r="C24" s="19" t="s">
        <v>79</v>
      </c>
    </row>
    <row r="25" spans="2:3" ht="33">
      <c r="B25" s="53" t="s">
        <v>80</v>
      </c>
      <c r="C25" s="19" t="s">
        <v>81</v>
      </c>
    </row>
    <row r="26" spans="2:3" ht="33">
      <c r="B26" s="54" t="s">
        <v>82</v>
      </c>
      <c r="C26" s="50" t="s">
        <v>83</v>
      </c>
    </row>
    <row r="27" spans="2:3" ht="33">
      <c r="B27" s="54" t="s">
        <v>84</v>
      </c>
      <c r="C27" s="50" t="s">
        <v>85</v>
      </c>
    </row>
    <row r="28" spans="2:3" ht="49.5">
      <c r="B28" s="54" t="s">
        <v>27</v>
      </c>
      <c r="C28" s="50" t="s">
        <v>86</v>
      </c>
    </row>
    <row r="29" spans="2:3" ht="33">
      <c r="B29" s="53" t="s">
        <v>87</v>
      </c>
      <c r="C29" s="19" t="s">
        <v>88</v>
      </c>
    </row>
    <row r="30" spans="2:3" ht="33">
      <c r="B30" s="53" t="s">
        <v>89</v>
      </c>
      <c r="C30" s="19" t="s">
        <v>90</v>
      </c>
    </row>
    <row r="31" spans="2:3" ht="33">
      <c r="B31" s="53" t="s">
        <v>91</v>
      </c>
      <c r="C31" s="19" t="s">
        <v>92</v>
      </c>
    </row>
    <row r="32" spans="2:3" ht="49.5">
      <c r="B32" s="53" t="s">
        <v>93</v>
      </c>
      <c r="C32" s="19" t="s">
        <v>94</v>
      </c>
    </row>
    <row r="33" spans="2:3" ht="33">
      <c r="B33" s="53" t="s">
        <v>95</v>
      </c>
      <c r="C33" s="19" t="s">
        <v>96</v>
      </c>
    </row>
    <row r="34" spans="2:3" ht="33">
      <c r="B34" s="53" t="s">
        <v>97</v>
      </c>
      <c r="C34" s="19" t="s">
        <v>98</v>
      </c>
    </row>
    <row r="35" spans="2:3" ht="33">
      <c r="B35" s="53" t="s">
        <v>99</v>
      </c>
      <c r="C35" s="19" t="s">
        <v>100</v>
      </c>
    </row>
    <row r="36" spans="2:3" ht="49.5">
      <c r="B36" s="53" t="s">
        <v>101</v>
      </c>
      <c r="C36" s="19" t="s">
        <v>102</v>
      </c>
    </row>
    <row r="37" spans="2:3" ht="49.5">
      <c r="B37" s="53" t="s">
        <v>103</v>
      </c>
      <c r="C37" s="19" t="s">
        <v>104</v>
      </c>
    </row>
    <row r="38" spans="2:3" ht="49.5">
      <c r="B38" s="54" t="s">
        <v>105</v>
      </c>
      <c r="C38" s="50" t="s">
        <v>106</v>
      </c>
    </row>
    <row r="39" spans="2:3" ht="82.5" customHeight="1">
      <c r="B39" s="54" t="s">
        <v>107</v>
      </c>
      <c r="C39" s="50" t="s">
        <v>108</v>
      </c>
    </row>
  </sheetData>
  <sortState xmlns:xlrd2="http://schemas.microsoft.com/office/spreadsheetml/2017/richdata2" ref="B5:C37">
    <sortCondition ref="B5:B37"/>
  </sortState>
  <mergeCells count="1">
    <mergeCell ref="B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C000"/>
  </sheetPr>
  <dimension ref="A4:O352"/>
  <sheetViews>
    <sheetView showGridLines="0" topLeftCell="E20" zoomScale="120" zoomScaleNormal="120" workbookViewId="0">
      <pane ySplit="12" topLeftCell="A32" activePane="bottomLeft" state="frozen"/>
      <selection activeCell="A20" sqref="A20"/>
      <selection pane="bottomLeft" activeCell="I102" sqref="I102:I109"/>
    </sheetView>
  </sheetViews>
  <sheetFormatPr baseColWidth="10" defaultColWidth="3.140625" defaultRowHeight="0" customHeight="1" zeroHeight="1"/>
  <cols>
    <col min="1" max="1" width="4.42578125" style="9" customWidth="1"/>
    <col min="2" max="2" width="3.5703125" style="9" hidden="1" customWidth="1"/>
    <col min="3" max="3" width="42.5703125" style="31" customWidth="1"/>
    <col min="4" max="4" width="36.140625" style="31" customWidth="1"/>
    <col min="5" max="5" width="46.7109375" style="98" customWidth="1"/>
    <col min="6" max="6" width="8.140625" style="9" customWidth="1"/>
    <col min="7" max="7" width="3.5703125" style="170" bestFit="1" customWidth="1"/>
    <col min="8" max="8" width="48.85546875" style="98" customWidth="1"/>
    <col min="9" max="9" width="57.140625" style="98" customWidth="1"/>
    <col min="10" max="10" width="7.42578125" style="9" customWidth="1"/>
    <col min="11" max="11" width="19" style="9" customWidth="1"/>
    <col min="12" max="12" width="3.140625" style="29" customWidth="1"/>
    <col min="13" max="13" width="7.28515625" style="29" customWidth="1"/>
    <col min="14" max="14" width="12.28515625" style="46" customWidth="1"/>
    <col min="15" max="15" width="12.28515625" style="64" customWidth="1"/>
    <col min="16" max="16364" width="3.140625" style="9" customWidth="1"/>
    <col min="16365" max="16384" width="3.140625" style="9"/>
  </cols>
  <sheetData>
    <row r="4" spans="5:10" ht="9.9499999999999993" customHeight="1"/>
    <row r="5" spans="5:10" ht="9.9499999999999993" customHeight="1"/>
    <row r="6" spans="5:10" ht="9.9499999999999993" customHeight="1"/>
    <row r="7" spans="5:10" ht="9.9499999999999993" customHeight="1"/>
    <row r="8" spans="5:10" ht="9.9499999999999993" customHeight="1"/>
    <row r="9" spans="5:10" ht="16.5"/>
    <row r="10" spans="5:10" ht="16.5"/>
    <row r="11" spans="5:10" ht="16.5"/>
    <row r="12" spans="5:10" ht="16.5"/>
    <row r="13" spans="5:10" ht="16.5">
      <c r="E13" s="490"/>
      <c r="F13" s="491"/>
      <c r="G13" s="491"/>
      <c r="H13" s="491"/>
      <c r="I13" s="491"/>
      <c r="J13" s="491"/>
    </row>
    <row r="14" spans="5:10" ht="31.5" customHeight="1">
      <c r="E14" s="490"/>
      <c r="F14" s="491"/>
      <c r="G14" s="491"/>
      <c r="H14" s="491"/>
      <c r="I14" s="491"/>
      <c r="J14" s="491"/>
    </row>
    <row r="15" spans="5:10" ht="24.75" customHeight="1">
      <c r="E15" s="104"/>
      <c r="F15" s="492"/>
      <c r="G15" s="492"/>
      <c r="H15" s="492"/>
      <c r="I15" s="492"/>
      <c r="J15" s="492"/>
    </row>
    <row r="16" spans="5:10" ht="20.25" customHeight="1"/>
    <row r="17" spans="1:15" ht="9.9499999999999993" customHeight="1"/>
    <row r="18" spans="1:15" ht="20.100000000000001" customHeight="1">
      <c r="C18" s="531" t="s">
        <v>109</v>
      </c>
      <c r="D18" s="531"/>
      <c r="E18" s="531"/>
      <c r="F18" s="531"/>
      <c r="G18" s="531"/>
      <c r="H18" s="531"/>
      <c r="I18" s="531"/>
      <c r="J18" s="531"/>
      <c r="K18" s="531"/>
    </row>
    <row r="19" spans="1:15" ht="60" customHeight="1">
      <c r="C19" s="532" t="s">
        <v>110</v>
      </c>
      <c r="D19" s="532"/>
      <c r="E19" s="532"/>
      <c r="F19" s="532"/>
      <c r="G19" s="532"/>
      <c r="H19" s="532"/>
      <c r="I19" s="532"/>
      <c r="J19" s="532"/>
      <c r="K19" s="532"/>
    </row>
    <row r="20" spans="1:15" ht="9.9499999999999993" customHeight="1">
      <c r="B20" s="10"/>
      <c r="C20" s="10"/>
      <c r="D20" s="10"/>
      <c r="F20" s="11"/>
    </row>
    <row r="21" spans="1:15" s="59" customFormat="1" ht="36.75" customHeight="1">
      <c r="B21" s="468" t="s">
        <v>111</v>
      </c>
      <c r="C21" s="465" t="s">
        <v>112</v>
      </c>
      <c r="D21" s="499" t="s">
        <v>8</v>
      </c>
      <c r="E21" s="499" t="s">
        <v>113</v>
      </c>
      <c r="F21" s="475" t="s">
        <v>114</v>
      </c>
      <c r="G21" s="500" t="s">
        <v>115</v>
      </c>
      <c r="H21" s="501"/>
      <c r="I21" s="502"/>
      <c r="J21" s="475" t="s">
        <v>116</v>
      </c>
      <c r="K21" s="475" t="s">
        <v>117</v>
      </c>
      <c r="L21" s="459"/>
      <c r="M21" s="459"/>
      <c r="N21" s="390"/>
      <c r="O21" s="390"/>
    </row>
    <row r="22" spans="1:15" s="59" customFormat="1" ht="29.25" customHeight="1">
      <c r="B22" s="468"/>
      <c r="C22" s="465"/>
      <c r="D22" s="503"/>
      <c r="E22" s="503"/>
      <c r="F22" s="475"/>
      <c r="G22" s="496" t="s">
        <v>13</v>
      </c>
      <c r="H22" s="498" t="s">
        <v>15</v>
      </c>
      <c r="I22" s="499" t="s">
        <v>118</v>
      </c>
      <c r="J22" s="475"/>
      <c r="K22" s="475"/>
      <c r="L22" s="459"/>
      <c r="M22" s="459"/>
      <c r="N22" s="390"/>
      <c r="O22" s="390"/>
    </row>
    <row r="23" spans="1:15" s="59" customFormat="1" ht="16.5">
      <c r="B23" s="469"/>
      <c r="C23" s="466"/>
      <c r="D23" s="503"/>
      <c r="E23" s="503"/>
      <c r="F23" s="476"/>
      <c r="G23" s="497"/>
      <c r="H23" s="499"/>
      <c r="I23" s="503"/>
      <c r="J23" s="476"/>
      <c r="K23" s="476"/>
      <c r="L23" s="459"/>
      <c r="M23" s="459"/>
      <c r="N23" s="390"/>
      <c r="O23" s="390"/>
    </row>
    <row r="24" spans="1:15" ht="66" hidden="1">
      <c r="A24" s="543" t="s">
        <v>119</v>
      </c>
      <c r="B24" s="467" t="str">
        <f>+LEFT(C24,3)</f>
        <v xml:space="preserve"> Ap</v>
      </c>
      <c r="C24" s="504" t="s">
        <v>120</v>
      </c>
      <c r="D24" s="504" t="s">
        <v>121</v>
      </c>
      <c r="E24" s="504" t="s">
        <v>122</v>
      </c>
      <c r="F24" s="523">
        <v>1</v>
      </c>
      <c r="G24" s="63">
        <v>1</v>
      </c>
      <c r="H24" s="152" t="s">
        <v>123</v>
      </c>
      <c r="I24" s="504" t="s">
        <v>124</v>
      </c>
      <c r="J24" s="523">
        <v>1</v>
      </c>
      <c r="K24" s="477" t="str">
        <f>+IF(OR(ISBLANK(F24),ISBLANK(J24)),"",IF(OR(AND(F24=1,J24=1),AND(F24=1,J24=2),AND(F24=1,J24=3)),"Deficiencia de control mayor (diseño y ejecución)",IF(OR(AND(F24=2,J24=2),AND(F24=3,J24=1),AND(F24=3,J24=2),AND(F24=2,J24=1)),"Deficiencia de control (diseño o ejecución)",IF(AND(F24=2,J24=3),"Oportunidad de mejora","Mantenimiento del control"))))</f>
        <v>Deficiencia de control mayor (diseño y ejecución)</v>
      </c>
      <c r="L24" s="457"/>
      <c r="M24" s="457"/>
      <c r="N24" s="383"/>
      <c r="O24" s="391"/>
    </row>
    <row r="25" spans="1:15" ht="49.5" hidden="1">
      <c r="A25" s="543"/>
      <c r="B25" s="467"/>
      <c r="C25" s="504"/>
      <c r="D25" s="504"/>
      <c r="E25" s="504"/>
      <c r="F25" s="523"/>
      <c r="G25" s="63">
        <v>2</v>
      </c>
      <c r="H25" s="152" t="s">
        <v>125</v>
      </c>
      <c r="I25" s="504"/>
      <c r="J25" s="523"/>
      <c r="K25" s="477"/>
      <c r="L25" s="457"/>
      <c r="M25" s="457"/>
      <c r="N25" s="383"/>
      <c r="O25" s="391"/>
    </row>
    <row r="26" spans="1:15" ht="49.5" hidden="1">
      <c r="A26" s="543"/>
      <c r="B26" s="467"/>
      <c r="C26" s="504"/>
      <c r="D26" s="504"/>
      <c r="E26" s="504"/>
      <c r="F26" s="523"/>
      <c r="G26" s="63">
        <v>3</v>
      </c>
      <c r="H26" s="152" t="s">
        <v>126</v>
      </c>
      <c r="I26" s="504"/>
      <c r="J26" s="523"/>
      <c r="K26" s="477"/>
      <c r="L26" s="457"/>
      <c r="M26" s="457"/>
      <c r="N26" s="383"/>
      <c r="O26" s="391"/>
    </row>
    <row r="27" spans="1:15" ht="16.5" hidden="1">
      <c r="A27" s="543"/>
      <c r="B27" s="467"/>
      <c r="C27" s="504"/>
      <c r="D27" s="504"/>
      <c r="E27" s="504"/>
      <c r="F27" s="523"/>
      <c r="G27" s="63">
        <v>4</v>
      </c>
      <c r="H27" s="99"/>
      <c r="I27" s="504"/>
      <c r="J27" s="523"/>
      <c r="K27" s="477"/>
      <c r="L27" s="457"/>
      <c r="M27" s="457"/>
      <c r="N27" s="383"/>
      <c r="O27" s="391"/>
    </row>
    <row r="28" spans="1:15" ht="16.5" hidden="1">
      <c r="A28" s="543"/>
      <c r="B28" s="467"/>
      <c r="C28" s="504"/>
      <c r="D28" s="504"/>
      <c r="E28" s="504"/>
      <c r="F28" s="523"/>
      <c r="G28" s="63">
        <v>5</v>
      </c>
      <c r="H28" s="99"/>
      <c r="I28" s="504"/>
      <c r="J28" s="523"/>
      <c r="K28" s="477"/>
      <c r="L28" s="457"/>
      <c r="M28" s="457"/>
      <c r="N28" s="383"/>
      <c r="O28" s="391"/>
    </row>
    <row r="29" spans="1:15" ht="16.5" hidden="1">
      <c r="A29" s="543"/>
      <c r="B29" s="467"/>
      <c r="C29" s="504"/>
      <c r="D29" s="504"/>
      <c r="E29" s="504"/>
      <c r="F29" s="523"/>
      <c r="G29" s="63">
        <v>6</v>
      </c>
      <c r="H29" s="99"/>
      <c r="I29" s="504"/>
      <c r="J29" s="523"/>
      <c r="K29" s="477"/>
      <c r="L29" s="457"/>
      <c r="M29" s="457"/>
      <c r="N29" s="383"/>
      <c r="O29" s="391"/>
    </row>
    <row r="30" spans="1:15" ht="16.5" hidden="1">
      <c r="A30" s="543"/>
      <c r="B30" s="467"/>
      <c r="C30" s="504"/>
      <c r="D30" s="504"/>
      <c r="E30" s="504"/>
      <c r="F30" s="523"/>
      <c r="G30" s="63">
        <v>7</v>
      </c>
      <c r="H30" s="99"/>
      <c r="I30" s="504"/>
      <c r="J30" s="523"/>
      <c r="K30" s="477"/>
      <c r="L30" s="457"/>
      <c r="M30" s="457"/>
      <c r="N30" s="383"/>
      <c r="O30" s="391"/>
    </row>
    <row r="31" spans="1:15" ht="16.5" hidden="1">
      <c r="A31" s="543"/>
      <c r="B31" s="467"/>
      <c r="C31" s="504"/>
      <c r="D31" s="504"/>
      <c r="E31" s="504"/>
      <c r="F31" s="523"/>
      <c r="G31" s="63">
        <v>8</v>
      </c>
      <c r="H31" s="99"/>
      <c r="I31" s="504"/>
      <c r="J31" s="523"/>
      <c r="K31" s="477"/>
      <c r="L31" s="457"/>
      <c r="M31" s="457"/>
      <c r="N31" s="383"/>
      <c r="O31" s="391"/>
    </row>
    <row r="32" spans="1:15" ht="65.25" customHeight="1">
      <c r="B32" s="472" t="str">
        <f>+LEFT(C32,3)</f>
        <v>1.1</v>
      </c>
      <c r="C32" s="536" t="s">
        <v>127</v>
      </c>
      <c r="D32" s="399" t="s">
        <v>121</v>
      </c>
      <c r="E32" s="539" t="s">
        <v>703</v>
      </c>
      <c r="F32" s="541">
        <v>3</v>
      </c>
      <c r="G32" s="265">
        <v>1</v>
      </c>
      <c r="H32" s="266" t="s">
        <v>128</v>
      </c>
      <c r="I32" s="528" t="s">
        <v>917</v>
      </c>
      <c r="J32" s="408">
        <v>2</v>
      </c>
      <c r="K32" s="546" t="str">
        <f>+IF(OR(ISBLANK(F32),ISBLANK(J32)),"",IF(OR(AND(F32=1,J32=1),AND(F32=1,J32=2),AND(F32=1,J32=3)),"Deficiencia de control mayor (diseño y ejecución)",IF(OR(AND(F32=2,J32=2),AND(F32=3,J32=1),AND(F32=3,J32=2),AND(F32=2,J32=1)),"Deficiencia de control (diseño o ejecución)",IF(AND(F32=2,J32=3),"Oportunidad de mejora","Mantenimiento del control"))))</f>
        <v>Deficiencia de control (diseño o ejecución)</v>
      </c>
      <c r="L32" s="457">
        <f>+IF(K32="",0,IF(K32="Deficiencia de control mayor (diseño y ejecución)",4,IF(K32="Deficiencia de control (diseño o ejecución)",20,IF(K32="Oportunidad de mejora",40,60))))</f>
        <v>20</v>
      </c>
      <c r="M32" s="457">
        <v>4.5870000000000001E-2</v>
      </c>
      <c r="N32" s="383">
        <f>+L32+M32</f>
        <v>20.045870000000001</v>
      </c>
      <c r="O32" s="391"/>
    </row>
    <row r="33" spans="2:15" ht="39" customHeight="1">
      <c r="B33" s="473"/>
      <c r="C33" s="537"/>
      <c r="D33" s="399"/>
      <c r="E33" s="539"/>
      <c r="F33" s="541"/>
      <c r="G33" s="267">
        <v>2</v>
      </c>
      <c r="H33" s="266" t="s">
        <v>129</v>
      </c>
      <c r="I33" s="529"/>
      <c r="J33" s="408"/>
      <c r="K33" s="547"/>
      <c r="L33" s="457"/>
      <c r="M33" s="457"/>
      <c r="N33" s="383"/>
      <c r="O33" s="391"/>
    </row>
    <row r="34" spans="2:15" ht="16.5">
      <c r="B34" s="473"/>
      <c r="C34" s="537"/>
      <c r="D34" s="399"/>
      <c r="E34" s="539"/>
      <c r="F34" s="541"/>
      <c r="G34" s="267">
        <v>3</v>
      </c>
      <c r="H34" s="266"/>
      <c r="I34" s="529"/>
      <c r="J34" s="408"/>
      <c r="K34" s="547"/>
      <c r="L34" s="457"/>
      <c r="M34" s="457"/>
      <c r="N34" s="383"/>
      <c r="O34" s="391"/>
    </row>
    <row r="35" spans="2:15" ht="16.5">
      <c r="B35" s="473"/>
      <c r="C35" s="537"/>
      <c r="D35" s="399"/>
      <c r="E35" s="539"/>
      <c r="F35" s="541"/>
      <c r="G35" s="267">
        <v>4</v>
      </c>
      <c r="H35" s="266"/>
      <c r="I35" s="529"/>
      <c r="J35" s="408"/>
      <c r="K35" s="547"/>
      <c r="L35" s="457"/>
      <c r="M35" s="457"/>
      <c r="N35" s="383"/>
      <c r="O35" s="391"/>
    </row>
    <row r="36" spans="2:15" ht="16.5">
      <c r="B36" s="473"/>
      <c r="C36" s="537"/>
      <c r="D36" s="399"/>
      <c r="E36" s="539"/>
      <c r="F36" s="541"/>
      <c r="G36" s="267">
        <v>5</v>
      </c>
      <c r="H36" s="266"/>
      <c r="I36" s="529"/>
      <c r="J36" s="408"/>
      <c r="K36" s="547"/>
      <c r="L36" s="457"/>
      <c r="M36" s="457"/>
      <c r="N36" s="383"/>
      <c r="O36" s="391"/>
    </row>
    <row r="37" spans="2:15" ht="16.5">
      <c r="B37" s="473"/>
      <c r="C37" s="537"/>
      <c r="D37" s="399"/>
      <c r="E37" s="539"/>
      <c r="F37" s="541"/>
      <c r="G37" s="267">
        <v>6</v>
      </c>
      <c r="H37" s="266"/>
      <c r="I37" s="529"/>
      <c r="J37" s="408"/>
      <c r="K37" s="547"/>
      <c r="L37" s="457"/>
      <c r="M37" s="457"/>
      <c r="N37" s="383"/>
      <c r="O37" s="391"/>
    </row>
    <row r="38" spans="2:15" ht="16.5">
      <c r="B38" s="473"/>
      <c r="C38" s="537"/>
      <c r="D38" s="399"/>
      <c r="E38" s="539"/>
      <c r="F38" s="541"/>
      <c r="G38" s="267">
        <v>7</v>
      </c>
      <c r="H38" s="266"/>
      <c r="I38" s="529"/>
      <c r="J38" s="408"/>
      <c r="K38" s="547"/>
      <c r="L38" s="457"/>
      <c r="M38" s="457"/>
      <c r="N38" s="383"/>
      <c r="O38" s="391"/>
    </row>
    <row r="39" spans="2:15" ht="24" customHeight="1" thickBot="1">
      <c r="B39" s="474"/>
      <c r="C39" s="538"/>
      <c r="D39" s="544"/>
      <c r="E39" s="540"/>
      <c r="F39" s="542"/>
      <c r="G39" s="268">
        <v>8</v>
      </c>
      <c r="H39" s="269"/>
      <c r="I39" s="530"/>
      <c r="J39" s="545"/>
      <c r="K39" s="548"/>
      <c r="L39" s="457"/>
      <c r="M39" s="457"/>
      <c r="N39" s="383"/>
      <c r="O39" s="391"/>
    </row>
    <row r="40" spans="2:15" ht="102" customHeight="1">
      <c r="B40" s="460" t="str">
        <f>+LEFT(C40,3)</f>
        <v>1.2</v>
      </c>
      <c r="C40" s="524" t="s">
        <v>130</v>
      </c>
      <c r="D40" s="399" t="s">
        <v>121</v>
      </c>
      <c r="E40" s="525" t="s">
        <v>718</v>
      </c>
      <c r="F40" s="526">
        <v>3</v>
      </c>
      <c r="G40" s="124">
        <v>1</v>
      </c>
      <c r="H40" s="153" t="s">
        <v>716</v>
      </c>
      <c r="I40" s="505" t="s">
        <v>843</v>
      </c>
      <c r="J40" s="527">
        <v>3</v>
      </c>
      <c r="K40" s="478" t="str">
        <f>+IF(OR(ISBLANK(F40),ISBLANK(J40)),"",IF(OR(AND(F40=1,J40=1),AND(F40=1,J40=2),AND(F40=1,J40=3)),"Deficiencia de control mayor (diseño y ejecución)",IF(OR(AND(F40=2,J40=2),AND(F40=3,J40=1),AND(F40=3,J40=2),AND(F40=2,J40=1)),"Deficiencia de control (diseño o ejecución)",IF(AND(F40=2,J40=3),"Oportunidad de mejora","Mantenimiento del control"))))</f>
        <v>Mantenimiento del control</v>
      </c>
      <c r="L40" s="457">
        <f>+IF(K40="",0,IF(K40="Deficiencia de control mayor (diseño y ejecución)",4,IF(K40="Deficiencia de control (diseño o ejecución)",20,IF(K40="Oportunidad de mejora",40,60))))</f>
        <v>60</v>
      </c>
      <c r="M40" s="457">
        <v>5.5690000000000003E-2</v>
      </c>
      <c r="N40" s="383">
        <f>+L40+M40</f>
        <v>60.055689999999998</v>
      </c>
      <c r="O40" s="391"/>
    </row>
    <row r="41" spans="2:15" ht="49.5">
      <c r="B41" s="461"/>
      <c r="C41" s="396"/>
      <c r="D41" s="399"/>
      <c r="E41" s="385"/>
      <c r="F41" s="426"/>
      <c r="G41" s="125">
        <v>2</v>
      </c>
      <c r="H41" s="154" t="s">
        <v>717</v>
      </c>
      <c r="I41" s="505"/>
      <c r="J41" s="429"/>
      <c r="K41" s="479"/>
      <c r="L41" s="457"/>
      <c r="M41" s="457"/>
      <c r="N41" s="383"/>
      <c r="O41" s="391"/>
    </row>
    <row r="42" spans="2:15" ht="33">
      <c r="B42" s="461"/>
      <c r="C42" s="396"/>
      <c r="D42" s="399"/>
      <c r="E42" s="385"/>
      <c r="F42" s="426"/>
      <c r="G42" s="125">
        <v>3</v>
      </c>
      <c r="H42" s="270" t="s">
        <v>131</v>
      </c>
      <c r="I42" s="505"/>
      <c r="J42" s="429"/>
      <c r="K42" s="479"/>
      <c r="L42" s="457"/>
      <c r="M42" s="457"/>
      <c r="N42" s="383"/>
      <c r="O42" s="391"/>
    </row>
    <row r="43" spans="2:15" ht="16.5">
      <c r="B43" s="461"/>
      <c r="C43" s="396"/>
      <c r="D43" s="399"/>
      <c r="E43" s="385"/>
      <c r="F43" s="426"/>
      <c r="G43" s="125">
        <v>4</v>
      </c>
      <c r="H43" s="154"/>
      <c r="I43" s="505"/>
      <c r="J43" s="429"/>
      <c r="K43" s="479"/>
      <c r="L43" s="457"/>
      <c r="M43" s="457"/>
      <c r="N43" s="383"/>
      <c r="O43" s="391"/>
    </row>
    <row r="44" spans="2:15" ht="16.5">
      <c r="B44" s="461"/>
      <c r="C44" s="396"/>
      <c r="D44" s="399"/>
      <c r="E44" s="385"/>
      <c r="F44" s="426"/>
      <c r="G44" s="125">
        <v>5</v>
      </c>
      <c r="H44" s="154"/>
      <c r="I44" s="505"/>
      <c r="J44" s="429"/>
      <c r="K44" s="479"/>
      <c r="L44" s="457"/>
      <c r="M44" s="457"/>
      <c r="N44" s="383"/>
      <c r="O44" s="391"/>
    </row>
    <row r="45" spans="2:15" ht="16.5">
      <c r="B45" s="461"/>
      <c r="C45" s="396"/>
      <c r="D45" s="399"/>
      <c r="E45" s="385"/>
      <c r="F45" s="426"/>
      <c r="G45" s="125">
        <v>6</v>
      </c>
      <c r="H45" s="154"/>
      <c r="I45" s="505"/>
      <c r="J45" s="429"/>
      <c r="K45" s="479"/>
      <c r="L45" s="457"/>
      <c r="M45" s="457"/>
      <c r="N45" s="383"/>
      <c r="O45" s="391"/>
    </row>
    <row r="46" spans="2:15" ht="16.5">
      <c r="B46" s="461"/>
      <c r="C46" s="396"/>
      <c r="D46" s="399"/>
      <c r="E46" s="385"/>
      <c r="F46" s="426"/>
      <c r="G46" s="125">
        <v>7</v>
      </c>
      <c r="H46" s="154"/>
      <c r="I46" s="505"/>
      <c r="J46" s="429"/>
      <c r="K46" s="479"/>
      <c r="L46" s="457"/>
      <c r="M46" s="457"/>
      <c r="N46" s="383"/>
      <c r="O46" s="391"/>
    </row>
    <row r="47" spans="2:15" ht="16.5">
      <c r="B47" s="462"/>
      <c r="C47" s="397"/>
      <c r="D47" s="400"/>
      <c r="E47" s="386"/>
      <c r="F47" s="427"/>
      <c r="G47" s="126">
        <v>8</v>
      </c>
      <c r="H47" s="155"/>
      <c r="I47" s="506"/>
      <c r="J47" s="430"/>
      <c r="K47" s="480"/>
      <c r="L47" s="457"/>
      <c r="M47" s="457"/>
      <c r="N47" s="383"/>
      <c r="O47" s="391"/>
    </row>
    <row r="48" spans="2:15" ht="41.25" customHeight="1">
      <c r="B48" s="460" t="str">
        <f>+LEFT(C48,3)</f>
        <v>1.3</v>
      </c>
      <c r="C48" s="395" t="s">
        <v>132</v>
      </c>
      <c r="D48" s="398" t="s">
        <v>133</v>
      </c>
      <c r="E48" s="384" t="s">
        <v>704</v>
      </c>
      <c r="F48" s="404">
        <v>3</v>
      </c>
      <c r="G48" s="262">
        <v>1</v>
      </c>
      <c r="H48" s="197" t="s">
        <v>134</v>
      </c>
      <c r="I48" s="401" t="s">
        <v>705</v>
      </c>
      <c r="J48" s="533">
        <v>3</v>
      </c>
      <c r="K48" s="481" t="str">
        <f>+IF(OR(ISBLANK(F48),ISBLANK(J48)),"",IF(OR(AND(F48=1,J48=1),AND(F48=1,J48=2),AND(F48=1,J48=3)),"Deficiencia de control mayor (diseño y ejecución)",IF(OR(AND(F48=2,J48=2),AND(F48=3,J48=1),AND(F48=3,J48=2),AND(F48=2,J48=1)),"Deficiencia de control (diseño o ejecución)",IF(AND(F48=2,J48=3),"Oportunidad de mejora","Mantenimiento del control"))))</f>
        <v>Mantenimiento del control</v>
      </c>
      <c r="L48" s="457">
        <f>+IF(K48="",0,IF(K48="Deficiencia de control mayor (diseño y ejecución)",4,IF(K48="Deficiencia de control (diseño o ejecución)",20,IF(K48="Oportunidad de mejora",40,60))))</f>
        <v>60</v>
      </c>
      <c r="M48" s="457">
        <v>6.6895999999999997E-2</v>
      </c>
      <c r="N48" s="387">
        <f>+L48+M48</f>
        <v>60.066896</v>
      </c>
      <c r="O48" s="392"/>
    </row>
    <row r="49" spans="2:15" ht="41.25" customHeight="1">
      <c r="B49" s="461"/>
      <c r="C49" s="396"/>
      <c r="D49" s="399"/>
      <c r="E49" s="385"/>
      <c r="F49" s="405"/>
      <c r="G49" s="263">
        <v>2</v>
      </c>
      <c r="H49" s="198" t="s">
        <v>135</v>
      </c>
      <c r="I49" s="402"/>
      <c r="J49" s="534"/>
      <c r="K49" s="482"/>
      <c r="L49" s="457"/>
      <c r="M49" s="457"/>
      <c r="N49" s="387"/>
      <c r="O49" s="392"/>
    </row>
    <row r="50" spans="2:15" ht="41.25" customHeight="1">
      <c r="B50" s="461"/>
      <c r="C50" s="396"/>
      <c r="D50" s="399"/>
      <c r="E50" s="385"/>
      <c r="F50" s="405"/>
      <c r="G50" s="263">
        <v>3</v>
      </c>
      <c r="H50" s="198" t="s">
        <v>136</v>
      </c>
      <c r="I50" s="402"/>
      <c r="J50" s="534"/>
      <c r="K50" s="482"/>
      <c r="L50" s="457"/>
      <c r="M50" s="457"/>
      <c r="N50" s="387"/>
      <c r="O50" s="392"/>
    </row>
    <row r="51" spans="2:15" ht="41.25" customHeight="1">
      <c r="B51" s="461"/>
      <c r="C51" s="396"/>
      <c r="D51" s="399"/>
      <c r="E51" s="385"/>
      <c r="F51" s="405"/>
      <c r="G51" s="263">
        <v>4</v>
      </c>
      <c r="H51" s="198" t="s">
        <v>137</v>
      </c>
      <c r="I51" s="402"/>
      <c r="J51" s="534"/>
      <c r="K51" s="482"/>
      <c r="L51" s="457"/>
      <c r="M51" s="457"/>
      <c r="N51" s="387"/>
      <c r="O51" s="392"/>
    </row>
    <row r="52" spans="2:15" ht="41.25" customHeight="1">
      <c r="B52" s="461"/>
      <c r="C52" s="396"/>
      <c r="D52" s="399"/>
      <c r="E52" s="385"/>
      <c r="F52" s="405"/>
      <c r="G52" s="263">
        <v>5</v>
      </c>
      <c r="H52" s="198" t="s">
        <v>138</v>
      </c>
      <c r="I52" s="402"/>
      <c r="J52" s="534"/>
      <c r="K52" s="482"/>
      <c r="L52" s="457"/>
      <c r="M52" s="457"/>
      <c r="N52" s="387"/>
      <c r="O52" s="392"/>
    </row>
    <row r="53" spans="2:15" ht="41.25" customHeight="1">
      <c r="B53" s="461"/>
      <c r="C53" s="396"/>
      <c r="D53" s="399"/>
      <c r="E53" s="385"/>
      <c r="F53" s="405"/>
      <c r="G53" s="263">
        <v>6</v>
      </c>
      <c r="H53" s="198" t="s">
        <v>139</v>
      </c>
      <c r="I53" s="402"/>
      <c r="J53" s="534"/>
      <c r="K53" s="482"/>
      <c r="L53" s="457"/>
      <c r="M53" s="457"/>
      <c r="N53" s="387"/>
      <c r="O53" s="392"/>
    </row>
    <row r="54" spans="2:15" ht="62.25" customHeight="1">
      <c r="B54" s="461"/>
      <c r="C54" s="396"/>
      <c r="D54" s="399"/>
      <c r="E54" s="385"/>
      <c r="F54" s="405"/>
      <c r="G54" s="263">
        <v>7</v>
      </c>
      <c r="H54" s="198"/>
      <c r="I54" s="402"/>
      <c r="J54" s="534"/>
      <c r="K54" s="482"/>
      <c r="L54" s="457"/>
      <c r="M54" s="457"/>
      <c r="N54" s="387"/>
      <c r="O54" s="392"/>
    </row>
    <row r="55" spans="2:15" ht="37.5" customHeight="1" thickBot="1">
      <c r="B55" s="462"/>
      <c r="C55" s="397"/>
      <c r="D55" s="400"/>
      <c r="E55" s="386"/>
      <c r="F55" s="406"/>
      <c r="G55" s="264">
        <v>8</v>
      </c>
      <c r="H55" s="199"/>
      <c r="I55" s="403"/>
      <c r="J55" s="535"/>
      <c r="K55" s="483"/>
      <c r="L55" s="457"/>
      <c r="M55" s="457"/>
      <c r="N55" s="387"/>
      <c r="O55" s="392"/>
    </row>
    <row r="56" spans="2:15" ht="31.5" customHeight="1">
      <c r="B56" s="460" t="str">
        <f>+LEFT(C56,3)</f>
        <v>1.4</v>
      </c>
      <c r="C56" s="395" t="s">
        <v>140</v>
      </c>
      <c r="D56" s="398" t="s">
        <v>141</v>
      </c>
      <c r="E56" s="401" t="s">
        <v>142</v>
      </c>
      <c r="F56" s="404">
        <v>3</v>
      </c>
      <c r="G56" s="262">
        <v>1</v>
      </c>
      <c r="H56" s="197" t="s">
        <v>143</v>
      </c>
      <c r="I56" s="401" t="s">
        <v>918</v>
      </c>
      <c r="J56" s="407">
        <v>2</v>
      </c>
      <c r="K56" s="410" t="str">
        <f>+IF(OR(ISBLANK(F56),ISBLANK(J56)),"",IF(OR(AND(F56=1,J56=1),AND(F56=1,J56=2),AND(F56=1,J56=3)),"Deficiencia de control mayor (diseño y ejecución)",IF(OR(AND(F56=2,J56=2),AND(F56=3,J56=1),AND(F56=3,J56=2),AND(F56=2,J56=1)),"Deficiencia de control (diseño o ejecución)",IF(AND(F56=2,J56=3),"Oportunidad de mejora","Mantenimiento del control"))))</f>
        <v>Deficiencia de control (diseño o ejecución)</v>
      </c>
      <c r="L56" s="457">
        <f>+IF(K56="",0,IF(K56="Deficiencia de control mayor (diseño y ejecución)",4,IF(K56="Deficiencia de control (diseño o ejecución)",20,IF(K56="Oportunidad de mejora",40,60))))</f>
        <v>20</v>
      </c>
      <c r="M56" s="457">
        <v>6.6909999999999997E-2</v>
      </c>
      <c r="N56" s="388">
        <f>+L56+M56</f>
        <v>20.06691</v>
      </c>
      <c r="O56" s="394"/>
    </row>
    <row r="57" spans="2:15" ht="49.5">
      <c r="B57" s="461"/>
      <c r="C57" s="396"/>
      <c r="D57" s="399"/>
      <c r="E57" s="402"/>
      <c r="F57" s="405"/>
      <c r="G57" s="263">
        <v>2</v>
      </c>
      <c r="H57" s="198" t="s">
        <v>719</v>
      </c>
      <c r="I57" s="402"/>
      <c r="J57" s="408"/>
      <c r="K57" s="411"/>
      <c r="L57" s="457"/>
      <c r="M57" s="457"/>
      <c r="N57" s="388"/>
      <c r="O57" s="394"/>
    </row>
    <row r="58" spans="2:15" ht="25.5" customHeight="1">
      <c r="B58" s="461"/>
      <c r="C58" s="396"/>
      <c r="D58" s="399"/>
      <c r="E58" s="402"/>
      <c r="F58" s="405"/>
      <c r="G58" s="263">
        <v>3</v>
      </c>
      <c r="H58" s="198" t="s">
        <v>919</v>
      </c>
      <c r="I58" s="402"/>
      <c r="J58" s="408"/>
      <c r="K58" s="411"/>
      <c r="L58" s="457"/>
      <c r="M58" s="457"/>
      <c r="N58" s="388"/>
      <c r="O58" s="394"/>
    </row>
    <row r="59" spans="2:15" ht="25.5" customHeight="1">
      <c r="B59" s="461"/>
      <c r="C59" s="396"/>
      <c r="D59" s="399"/>
      <c r="E59" s="402"/>
      <c r="F59" s="405"/>
      <c r="G59" s="263">
        <v>4</v>
      </c>
      <c r="H59" s="198"/>
      <c r="I59" s="402"/>
      <c r="J59" s="408"/>
      <c r="K59" s="411"/>
      <c r="L59" s="457"/>
      <c r="M59" s="457"/>
      <c r="N59" s="388"/>
      <c r="O59" s="394"/>
    </row>
    <row r="60" spans="2:15" ht="25.5" customHeight="1">
      <c r="B60" s="461"/>
      <c r="C60" s="396"/>
      <c r="D60" s="399"/>
      <c r="E60" s="402"/>
      <c r="F60" s="405"/>
      <c r="G60" s="263">
        <v>5</v>
      </c>
      <c r="H60" s="198"/>
      <c r="I60" s="402"/>
      <c r="J60" s="408"/>
      <c r="K60" s="411"/>
      <c r="L60" s="457"/>
      <c r="M60" s="457"/>
      <c r="N60" s="388"/>
      <c r="O60" s="394"/>
    </row>
    <row r="61" spans="2:15" ht="25.5" customHeight="1">
      <c r="B61" s="461"/>
      <c r="C61" s="396"/>
      <c r="D61" s="399"/>
      <c r="E61" s="402"/>
      <c r="F61" s="405"/>
      <c r="G61" s="263">
        <v>6</v>
      </c>
      <c r="H61" s="198"/>
      <c r="I61" s="402"/>
      <c r="J61" s="408"/>
      <c r="K61" s="411"/>
      <c r="L61" s="457"/>
      <c r="M61" s="457"/>
      <c r="N61" s="388"/>
      <c r="O61" s="394"/>
    </row>
    <row r="62" spans="2:15" ht="22.5" customHeight="1">
      <c r="B62" s="461"/>
      <c r="C62" s="396"/>
      <c r="D62" s="399"/>
      <c r="E62" s="402"/>
      <c r="F62" s="405"/>
      <c r="G62" s="263">
        <v>7</v>
      </c>
      <c r="H62" s="198"/>
      <c r="I62" s="402"/>
      <c r="J62" s="408"/>
      <c r="K62" s="411"/>
      <c r="L62" s="457"/>
      <c r="M62" s="457"/>
      <c r="N62" s="388"/>
      <c r="O62" s="394"/>
    </row>
    <row r="63" spans="2:15" ht="17.25" customHeight="1" thickBot="1">
      <c r="B63" s="462"/>
      <c r="C63" s="397"/>
      <c r="D63" s="400"/>
      <c r="E63" s="403"/>
      <c r="F63" s="406"/>
      <c r="G63" s="264">
        <v>8</v>
      </c>
      <c r="H63" s="199"/>
      <c r="I63" s="403"/>
      <c r="J63" s="409"/>
      <c r="K63" s="412"/>
      <c r="L63" s="457"/>
      <c r="M63" s="457"/>
      <c r="N63" s="388"/>
      <c r="O63" s="394"/>
    </row>
    <row r="64" spans="2:15" ht="104.25" customHeight="1">
      <c r="B64" s="460" t="str">
        <f>+LEFT(C64,3)</f>
        <v>1.5</v>
      </c>
      <c r="C64" s="416" t="s">
        <v>144</v>
      </c>
      <c r="D64" s="419" t="s">
        <v>145</v>
      </c>
      <c r="E64" s="384" t="s">
        <v>914</v>
      </c>
      <c r="F64" s="493">
        <v>3</v>
      </c>
      <c r="G64" s="70">
        <v>1</v>
      </c>
      <c r="H64" s="156" t="s">
        <v>920</v>
      </c>
      <c r="I64" s="401" t="s">
        <v>922</v>
      </c>
      <c r="J64" s="428">
        <v>3</v>
      </c>
      <c r="K64" s="484" t="str">
        <f>+IF(OR(ISBLANK(F64),ISBLANK(J64)),"",IF(OR(AND(F64=1,J64=1),AND(F64=1,J64=2),AND(F64=1,J64=3)),"Deficiencia de control mayor (diseño y ejecución)",IF(OR(AND(F64=2,J64=2),AND(F64=3,J64=1),AND(F64=3,J64=2),AND(F64=2,J64=1)),"Deficiencia de control (diseño o ejecución)",IF(AND(F64=2,J64=3),"Oportunidad de mejora","Mantenimiento del control"))))</f>
        <v>Mantenimiento del control</v>
      </c>
      <c r="L64" s="457">
        <f>+IF(K64="",0,IF(K64="Deficiencia de control mayor (diseño y ejecución)",4,IF(K64="Deficiencia de control (diseño o ejecución)",20,IF(K64="Oportunidad de mejora",40,60))))</f>
        <v>60</v>
      </c>
      <c r="M64" s="457">
        <v>7.3568999999999996E-2</v>
      </c>
      <c r="N64" s="383">
        <f>+L64+M64</f>
        <v>60.073568999999999</v>
      </c>
      <c r="O64" s="391"/>
    </row>
    <row r="65" spans="2:15" ht="69.75" customHeight="1">
      <c r="B65" s="461"/>
      <c r="C65" s="417"/>
      <c r="D65" s="420"/>
      <c r="E65" s="385"/>
      <c r="F65" s="494"/>
      <c r="G65" s="125">
        <v>2</v>
      </c>
      <c r="H65" s="154" t="s">
        <v>921</v>
      </c>
      <c r="I65" s="402"/>
      <c r="J65" s="429"/>
      <c r="K65" s="479"/>
      <c r="L65" s="457"/>
      <c r="M65" s="457"/>
      <c r="N65" s="383"/>
      <c r="O65" s="391"/>
    </row>
    <row r="66" spans="2:15" ht="33" customHeight="1">
      <c r="B66" s="461"/>
      <c r="C66" s="417"/>
      <c r="D66" s="420"/>
      <c r="E66" s="385"/>
      <c r="F66" s="494"/>
      <c r="G66" s="125">
        <v>3</v>
      </c>
      <c r="H66" s="154"/>
      <c r="I66" s="402"/>
      <c r="J66" s="429"/>
      <c r="K66" s="479"/>
      <c r="L66" s="457"/>
      <c r="M66" s="457"/>
      <c r="N66" s="383"/>
      <c r="O66" s="391"/>
    </row>
    <row r="67" spans="2:15" ht="33" customHeight="1">
      <c r="B67" s="461"/>
      <c r="C67" s="417"/>
      <c r="D67" s="420"/>
      <c r="E67" s="385"/>
      <c r="F67" s="494"/>
      <c r="G67" s="125">
        <v>4</v>
      </c>
      <c r="H67" s="154"/>
      <c r="I67" s="402"/>
      <c r="J67" s="429"/>
      <c r="K67" s="479"/>
      <c r="L67" s="457"/>
      <c r="M67" s="457"/>
      <c r="N67" s="383"/>
      <c r="O67" s="391"/>
    </row>
    <row r="68" spans="2:15" ht="33" customHeight="1">
      <c r="B68" s="461"/>
      <c r="C68" s="417"/>
      <c r="D68" s="420"/>
      <c r="E68" s="385"/>
      <c r="F68" s="494"/>
      <c r="G68" s="125">
        <v>5</v>
      </c>
      <c r="H68" s="154"/>
      <c r="I68" s="402"/>
      <c r="J68" s="429"/>
      <c r="K68" s="479"/>
      <c r="L68" s="457"/>
      <c r="M68" s="457"/>
      <c r="N68" s="383"/>
      <c r="O68" s="391"/>
    </row>
    <row r="69" spans="2:15" ht="33" customHeight="1">
      <c r="B69" s="461"/>
      <c r="C69" s="417"/>
      <c r="D69" s="420"/>
      <c r="E69" s="385"/>
      <c r="F69" s="494"/>
      <c r="G69" s="125">
        <v>6</v>
      </c>
      <c r="H69" s="154"/>
      <c r="I69" s="402"/>
      <c r="J69" s="429"/>
      <c r="K69" s="479"/>
      <c r="L69" s="457"/>
      <c r="M69" s="457"/>
      <c r="N69" s="383"/>
      <c r="O69" s="391"/>
    </row>
    <row r="70" spans="2:15" ht="33" customHeight="1">
      <c r="B70" s="461"/>
      <c r="C70" s="417"/>
      <c r="D70" s="420"/>
      <c r="E70" s="385"/>
      <c r="F70" s="494"/>
      <c r="G70" s="125">
        <v>7</v>
      </c>
      <c r="H70" s="154"/>
      <c r="I70" s="402"/>
      <c r="J70" s="429"/>
      <c r="K70" s="479"/>
      <c r="L70" s="457"/>
      <c r="M70" s="457"/>
      <c r="N70" s="383"/>
      <c r="O70" s="391"/>
    </row>
    <row r="71" spans="2:15" ht="33" customHeight="1">
      <c r="B71" s="462"/>
      <c r="C71" s="418"/>
      <c r="D71" s="421"/>
      <c r="E71" s="386"/>
      <c r="F71" s="495"/>
      <c r="G71" s="126">
        <v>8</v>
      </c>
      <c r="H71" s="155"/>
      <c r="I71" s="403"/>
      <c r="J71" s="430"/>
      <c r="K71" s="480"/>
      <c r="L71" s="457"/>
      <c r="M71" s="457"/>
      <c r="N71" s="383"/>
      <c r="O71" s="391"/>
    </row>
    <row r="72" spans="2:15" ht="36.75" customHeight="1">
      <c r="B72" s="470"/>
      <c r="C72" s="470" t="s">
        <v>146</v>
      </c>
      <c r="D72" s="442" t="s">
        <v>8</v>
      </c>
      <c r="E72" s="413" t="s">
        <v>147</v>
      </c>
      <c r="F72" s="445" t="s">
        <v>148</v>
      </c>
      <c r="G72" s="453" t="s">
        <v>115</v>
      </c>
      <c r="H72" s="454"/>
      <c r="I72" s="455"/>
      <c r="J72" s="445" t="s">
        <v>149</v>
      </c>
      <c r="K72" s="485" t="s">
        <v>150</v>
      </c>
      <c r="L72" s="458"/>
      <c r="M72" s="458"/>
      <c r="N72" s="389"/>
      <c r="O72" s="393"/>
    </row>
    <row r="73" spans="2:15" ht="29.25" customHeight="1">
      <c r="B73" s="470"/>
      <c r="C73" s="470"/>
      <c r="D73" s="443"/>
      <c r="E73" s="414"/>
      <c r="F73" s="445"/>
      <c r="G73" s="449" t="s">
        <v>13</v>
      </c>
      <c r="H73" s="451" t="s">
        <v>151</v>
      </c>
      <c r="I73" s="507" t="s">
        <v>152</v>
      </c>
      <c r="J73" s="445"/>
      <c r="K73" s="485"/>
      <c r="L73" s="458"/>
      <c r="M73" s="458"/>
      <c r="N73" s="389"/>
      <c r="O73" s="393"/>
    </row>
    <row r="74" spans="2:15" ht="45.75" customHeight="1" thickBot="1">
      <c r="B74" s="471"/>
      <c r="C74" s="471"/>
      <c r="D74" s="444"/>
      <c r="E74" s="415"/>
      <c r="F74" s="446"/>
      <c r="G74" s="450"/>
      <c r="H74" s="507"/>
      <c r="I74" s="415"/>
      <c r="J74" s="446"/>
      <c r="K74" s="486"/>
      <c r="L74" s="458"/>
      <c r="M74" s="458"/>
      <c r="N74" s="389"/>
      <c r="O74" s="393"/>
    </row>
    <row r="75" spans="2:15" ht="36.75" customHeight="1">
      <c r="B75" s="460" t="str">
        <f>+LEFT(C75,3)</f>
        <v>2.1</v>
      </c>
      <c r="C75" s="395" t="s">
        <v>153</v>
      </c>
      <c r="D75" s="398" t="s">
        <v>154</v>
      </c>
      <c r="E75" s="384" t="s">
        <v>720</v>
      </c>
      <c r="F75" s="425">
        <v>3</v>
      </c>
      <c r="G75" s="127">
        <v>1</v>
      </c>
      <c r="H75" s="156" t="s">
        <v>155</v>
      </c>
      <c r="I75" s="377" t="s">
        <v>706</v>
      </c>
      <c r="J75" s="428">
        <v>3</v>
      </c>
      <c r="K75" s="484" t="str">
        <f>+IF(OR(ISBLANK(F75),ISBLANK(J75)),"",IF(OR(AND(F75=1,J75=1),AND(F75=1,J75=2),AND(F75=1,J75=3)),"Deficiencia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457">
        <f>+IF(K75="",0,IF(K75="Deficiencia de control mayor (diseño y ejecución)",4,IF(K75="Deficiencia de control (diseño o ejecución)",20,IF(K75="Oportunidad de mejora",40,60))))</f>
        <v>60</v>
      </c>
      <c r="M75" s="457">
        <v>8.8965299999999997E-2</v>
      </c>
      <c r="N75" s="383">
        <f>+L75+M75</f>
        <v>60.088965299999998</v>
      </c>
      <c r="O75" s="391"/>
    </row>
    <row r="76" spans="2:15" ht="21" customHeight="1">
      <c r="B76" s="461"/>
      <c r="C76" s="396"/>
      <c r="D76" s="399"/>
      <c r="E76" s="385"/>
      <c r="F76" s="426"/>
      <c r="G76" s="125">
        <v>2</v>
      </c>
      <c r="H76" s="154" t="s">
        <v>156</v>
      </c>
      <c r="I76" s="378"/>
      <c r="J76" s="429"/>
      <c r="K76" s="479"/>
      <c r="L76" s="457"/>
      <c r="M76" s="457"/>
      <c r="N76" s="383"/>
      <c r="O76" s="391"/>
    </row>
    <row r="77" spans="2:15" ht="32.25" customHeight="1">
      <c r="B77" s="461"/>
      <c r="C77" s="396"/>
      <c r="D77" s="399"/>
      <c r="E77" s="385"/>
      <c r="F77" s="426"/>
      <c r="G77" s="125">
        <v>3</v>
      </c>
      <c r="H77" s="154" t="s">
        <v>157</v>
      </c>
      <c r="I77" s="378"/>
      <c r="J77" s="429"/>
      <c r="K77" s="479"/>
      <c r="L77" s="457"/>
      <c r="M77" s="457"/>
      <c r="N77" s="383"/>
      <c r="O77" s="391"/>
    </row>
    <row r="78" spans="2:15" ht="29.25" customHeight="1">
      <c r="B78" s="461"/>
      <c r="C78" s="396"/>
      <c r="D78" s="399"/>
      <c r="E78" s="385"/>
      <c r="F78" s="426"/>
      <c r="G78" s="125">
        <v>4</v>
      </c>
      <c r="H78" s="154"/>
      <c r="I78" s="378"/>
      <c r="J78" s="429"/>
      <c r="K78" s="479"/>
      <c r="L78" s="457"/>
      <c r="M78" s="457"/>
      <c r="N78" s="383"/>
      <c r="O78" s="391"/>
    </row>
    <row r="79" spans="2:15" ht="21" customHeight="1">
      <c r="B79" s="461"/>
      <c r="C79" s="396"/>
      <c r="D79" s="399"/>
      <c r="E79" s="385"/>
      <c r="F79" s="426"/>
      <c r="G79" s="125">
        <v>5</v>
      </c>
      <c r="H79" s="154"/>
      <c r="I79" s="378"/>
      <c r="J79" s="429"/>
      <c r="K79" s="479"/>
      <c r="L79" s="457"/>
      <c r="M79" s="457"/>
      <c r="N79" s="383"/>
      <c r="O79" s="391"/>
    </row>
    <row r="80" spans="2:15" ht="21" customHeight="1">
      <c r="B80" s="461"/>
      <c r="C80" s="396"/>
      <c r="D80" s="399"/>
      <c r="E80" s="385"/>
      <c r="F80" s="426"/>
      <c r="G80" s="125">
        <v>6</v>
      </c>
      <c r="H80" s="154"/>
      <c r="I80" s="378"/>
      <c r="J80" s="429"/>
      <c r="K80" s="479"/>
      <c r="L80" s="457"/>
      <c r="M80" s="457"/>
      <c r="N80" s="383"/>
      <c r="O80" s="391"/>
    </row>
    <row r="81" spans="2:15" ht="21" customHeight="1">
      <c r="B81" s="461"/>
      <c r="C81" s="396"/>
      <c r="D81" s="399"/>
      <c r="E81" s="385"/>
      <c r="F81" s="426"/>
      <c r="G81" s="125">
        <v>7</v>
      </c>
      <c r="H81" s="154"/>
      <c r="I81" s="378"/>
      <c r="J81" s="429"/>
      <c r="K81" s="479"/>
      <c r="L81" s="457"/>
      <c r="M81" s="457"/>
      <c r="N81" s="383"/>
      <c r="O81" s="391"/>
    </row>
    <row r="82" spans="2:15" ht="21" customHeight="1" thickBot="1">
      <c r="B82" s="462"/>
      <c r="C82" s="397"/>
      <c r="D82" s="400"/>
      <c r="E82" s="386"/>
      <c r="F82" s="427"/>
      <c r="G82" s="126">
        <v>8</v>
      </c>
      <c r="H82" s="155"/>
      <c r="I82" s="379"/>
      <c r="J82" s="430"/>
      <c r="K82" s="480"/>
      <c r="L82" s="457"/>
      <c r="M82" s="457"/>
      <c r="N82" s="383"/>
      <c r="O82" s="391"/>
    </row>
    <row r="83" spans="2:15" ht="38.25" customHeight="1">
      <c r="B83" s="460" t="str">
        <f>+LEFT(C83,3)</f>
        <v>2.2</v>
      </c>
      <c r="C83" s="422" t="s">
        <v>158</v>
      </c>
      <c r="D83" s="398" t="s">
        <v>159</v>
      </c>
      <c r="E83" s="384" t="s">
        <v>160</v>
      </c>
      <c r="F83" s="425">
        <v>3</v>
      </c>
      <c r="G83" s="127">
        <v>1</v>
      </c>
      <c r="H83" s="203" t="s">
        <v>161</v>
      </c>
      <c r="I83" s="377" t="s">
        <v>844</v>
      </c>
      <c r="J83" s="428">
        <v>3</v>
      </c>
      <c r="K83" s="484" t="str">
        <f>+IF(OR(ISBLANK(F83),ISBLANK(J83)),"",IF(OR(AND(F83=1,J83=1),AND(F83=1,J83=2),AND(F83=1,J83=3)),"Deficiencia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457">
        <f>+IF(K83="",0,IF(K83="Deficiencia de control mayor (diseño y ejecución)",4,IF(K83="Deficiencia de control (diseño o ejecución)",20,IF(K83="Oportunidad de mejora",40,60))))</f>
        <v>60</v>
      </c>
      <c r="M83" s="457">
        <v>9.8965300000000006E-2</v>
      </c>
      <c r="N83" s="383">
        <f>+L83+M83</f>
        <v>60.098965300000003</v>
      </c>
      <c r="O83" s="391"/>
    </row>
    <row r="84" spans="2:15" ht="16.5">
      <c r="B84" s="461"/>
      <c r="C84" s="423"/>
      <c r="D84" s="399"/>
      <c r="E84" s="385"/>
      <c r="F84" s="426"/>
      <c r="G84" s="125">
        <v>2</v>
      </c>
      <c r="H84" s="122"/>
      <c r="I84" s="378"/>
      <c r="J84" s="429"/>
      <c r="K84" s="479"/>
      <c r="L84" s="457"/>
      <c r="M84" s="457"/>
      <c r="N84" s="383"/>
      <c r="O84" s="391"/>
    </row>
    <row r="85" spans="2:15" ht="16.5">
      <c r="B85" s="461"/>
      <c r="C85" s="423"/>
      <c r="D85" s="399"/>
      <c r="E85" s="385"/>
      <c r="F85" s="426"/>
      <c r="G85" s="125">
        <v>3</v>
      </c>
      <c r="H85" s="122"/>
      <c r="I85" s="378"/>
      <c r="J85" s="429"/>
      <c r="K85" s="479"/>
      <c r="L85" s="457"/>
      <c r="M85" s="457"/>
      <c r="N85" s="383"/>
      <c r="O85" s="391"/>
    </row>
    <row r="86" spans="2:15" ht="16.5">
      <c r="B86" s="461"/>
      <c r="C86" s="423"/>
      <c r="D86" s="399"/>
      <c r="E86" s="385"/>
      <c r="F86" s="426"/>
      <c r="G86" s="125">
        <v>4</v>
      </c>
      <c r="H86" s="122"/>
      <c r="I86" s="378"/>
      <c r="J86" s="429"/>
      <c r="K86" s="479"/>
      <c r="L86" s="457"/>
      <c r="M86" s="457"/>
      <c r="N86" s="383"/>
      <c r="O86" s="391"/>
    </row>
    <row r="87" spans="2:15" ht="16.5">
      <c r="B87" s="461"/>
      <c r="C87" s="423"/>
      <c r="D87" s="399"/>
      <c r="E87" s="385"/>
      <c r="F87" s="426"/>
      <c r="G87" s="125">
        <v>5</v>
      </c>
      <c r="H87" s="122"/>
      <c r="I87" s="378"/>
      <c r="J87" s="429"/>
      <c r="K87" s="479"/>
      <c r="L87" s="457"/>
      <c r="M87" s="457"/>
      <c r="N87" s="383"/>
      <c r="O87" s="391"/>
    </row>
    <row r="88" spans="2:15" ht="16.5">
      <c r="B88" s="461"/>
      <c r="C88" s="423"/>
      <c r="D88" s="399"/>
      <c r="E88" s="385"/>
      <c r="F88" s="426"/>
      <c r="G88" s="125">
        <v>6</v>
      </c>
      <c r="H88" s="122"/>
      <c r="I88" s="378"/>
      <c r="J88" s="429"/>
      <c r="K88" s="479"/>
      <c r="L88" s="457"/>
      <c r="M88" s="457"/>
      <c r="N88" s="383"/>
      <c r="O88" s="391"/>
    </row>
    <row r="89" spans="2:15" ht="16.5">
      <c r="B89" s="461"/>
      <c r="C89" s="423"/>
      <c r="D89" s="399"/>
      <c r="E89" s="385"/>
      <c r="F89" s="426"/>
      <c r="G89" s="125">
        <v>7</v>
      </c>
      <c r="H89" s="122"/>
      <c r="I89" s="378"/>
      <c r="J89" s="429"/>
      <c r="K89" s="479"/>
      <c r="L89" s="457"/>
      <c r="M89" s="457"/>
      <c r="N89" s="383"/>
      <c r="O89" s="391"/>
    </row>
    <row r="90" spans="2:15" ht="17.25" thickBot="1">
      <c r="B90" s="462"/>
      <c r="C90" s="424"/>
      <c r="D90" s="400"/>
      <c r="E90" s="386"/>
      <c r="F90" s="427"/>
      <c r="G90" s="126">
        <v>8</v>
      </c>
      <c r="H90" s="123"/>
      <c r="I90" s="379"/>
      <c r="J90" s="430"/>
      <c r="K90" s="480"/>
      <c r="L90" s="457"/>
      <c r="M90" s="457"/>
      <c r="N90" s="383"/>
      <c r="O90" s="391"/>
    </row>
    <row r="91" spans="2:15" ht="66" customHeight="1">
      <c r="B91" s="460" t="str">
        <f>+LEFT(C91,3)</f>
        <v>2.3</v>
      </c>
      <c r="C91" s="416" t="s">
        <v>162</v>
      </c>
      <c r="D91" s="419" t="s">
        <v>163</v>
      </c>
      <c r="E91" s="380" t="s">
        <v>721</v>
      </c>
      <c r="F91" s="425">
        <v>3</v>
      </c>
      <c r="G91" s="127">
        <v>1</v>
      </c>
      <c r="H91" s="156" t="s">
        <v>161</v>
      </c>
      <c r="I91" s="377" t="s">
        <v>722</v>
      </c>
      <c r="J91" s="428">
        <v>3</v>
      </c>
      <c r="K91" s="484" t="str">
        <f>+IF(OR(ISBLANK(F91),ISBLANK(J91)),"",IF(OR(AND(F91=1,J91=1),AND(F91=1,J91=2),AND(F91=1,J91=3)),"Deficiencia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457">
        <f>+IF(K91="",0,IF(K91="Deficiencia de control mayor (diseño y ejecución)",4,IF(K91="Deficiencia de control (diseño o ejecución)",20,IF(K91="Oportunidad de mejora",40,60))))</f>
        <v>60</v>
      </c>
      <c r="M91" s="457">
        <v>0.15698000000000001</v>
      </c>
      <c r="N91" s="383">
        <f>+L91+M91</f>
        <v>60.156979999999997</v>
      </c>
      <c r="O91" s="391"/>
    </row>
    <row r="92" spans="2:15" ht="42.75" customHeight="1">
      <c r="B92" s="461"/>
      <c r="C92" s="417"/>
      <c r="D92" s="420"/>
      <c r="E92" s="381"/>
      <c r="F92" s="426"/>
      <c r="G92" s="125">
        <v>2</v>
      </c>
      <c r="H92" s="154" t="s">
        <v>164</v>
      </c>
      <c r="I92" s="378"/>
      <c r="J92" s="429"/>
      <c r="K92" s="479"/>
      <c r="L92" s="457"/>
      <c r="M92" s="457"/>
      <c r="N92" s="383"/>
      <c r="O92" s="391"/>
    </row>
    <row r="93" spans="2:15" ht="42" customHeight="1">
      <c r="B93" s="461"/>
      <c r="C93" s="417"/>
      <c r="D93" s="420"/>
      <c r="E93" s="381"/>
      <c r="F93" s="426"/>
      <c r="G93" s="125">
        <v>3</v>
      </c>
      <c r="H93" s="154" t="s">
        <v>165</v>
      </c>
      <c r="I93" s="378"/>
      <c r="J93" s="429"/>
      <c r="K93" s="479"/>
      <c r="L93" s="457"/>
      <c r="M93" s="457"/>
      <c r="N93" s="383"/>
      <c r="O93" s="391"/>
    </row>
    <row r="94" spans="2:15" ht="28.5" customHeight="1">
      <c r="B94" s="461"/>
      <c r="C94" s="417"/>
      <c r="D94" s="420"/>
      <c r="E94" s="381"/>
      <c r="F94" s="426"/>
      <c r="G94" s="125">
        <v>4</v>
      </c>
      <c r="H94" s="122"/>
      <c r="I94" s="378"/>
      <c r="J94" s="429"/>
      <c r="K94" s="479"/>
      <c r="L94" s="457"/>
      <c r="M94" s="457"/>
      <c r="N94" s="383"/>
      <c r="O94" s="391"/>
    </row>
    <row r="95" spans="2:15" ht="28.5" customHeight="1">
      <c r="B95" s="461"/>
      <c r="C95" s="417"/>
      <c r="D95" s="420"/>
      <c r="E95" s="381"/>
      <c r="F95" s="426"/>
      <c r="G95" s="125">
        <v>5</v>
      </c>
      <c r="H95" s="122"/>
      <c r="I95" s="378"/>
      <c r="J95" s="429"/>
      <c r="K95" s="479"/>
      <c r="L95" s="457"/>
      <c r="M95" s="457"/>
      <c r="N95" s="383"/>
      <c r="O95" s="391"/>
    </row>
    <row r="96" spans="2:15" ht="28.5" customHeight="1">
      <c r="B96" s="461"/>
      <c r="C96" s="417"/>
      <c r="D96" s="420"/>
      <c r="E96" s="381"/>
      <c r="F96" s="426"/>
      <c r="G96" s="125">
        <v>6</v>
      </c>
      <c r="H96" s="122"/>
      <c r="I96" s="378"/>
      <c r="J96" s="429"/>
      <c r="K96" s="479"/>
      <c r="L96" s="457"/>
      <c r="M96" s="457"/>
      <c r="N96" s="383"/>
      <c r="O96" s="391"/>
    </row>
    <row r="97" spans="2:15" ht="28.5" customHeight="1">
      <c r="B97" s="461"/>
      <c r="C97" s="417"/>
      <c r="D97" s="420"/>
      <c r="E97" s="381"/>
      <c r="F97" s="426"/>
      <c r="G97" s="125">
        <v>7</v>
      </c>
      <c r="H97" s="122"/>
      <c r="I97" s="378"/>
      <c r="J97" s="429"/>
      <c r="K97" s="479"/>
      <c r="L97" s="457"/>
      <c r="M97" s="457"/>
      <c r="N97" s="383"/>
      <c r="O97" s="391"/>
    </row>
    <row r="98" spans="2:15" ht="28.5" customHeight="1" thickBot="1">
      <c r="B98" s="462"/>
      <c r="C98" s="418"/>
      <c r="D98" s="421"/>
      <c r="E98" s="382"/>
      <c r="F98" s="427"/>
      <c r="G98" s="126">
        <v>8</v>
      </c>
      <c r="H98" s="123"/>
      <c r="I98" s="379"/>
      <c r="J98" s="430"/>
      <c r="K98" s="480"/>
      <c r="L98" s="457"/>
      <c r="M98" s="457"/>
      <c r="N98" s="383"/>
      <c r="O98" s="391"/>
    </row>
    <row r="99" spans="2:15" ht="23.25" customHeight="1">
      <c r="B99" s="465"/>
      <c r="C99" s="470" t="s">
        <v>166</v>
      </c>
      <c r="D99" s="442" t="s">
        <v>8</v>
      </c>
      <c r="E99" s="413" t="s">
        <v>147</v>
      </c>
      <c r="F99" s="445" t="s">
        <v>148</v>
      </c>
      <c r="G99" s="453" t="s">
        <v>115</v>
      </c>
      <c r="H99" s="454"/>
      <c r="I99" s="455"/>
      <c r="J99" s="445" t="s">
        <v>149</v>
      </c>
      <c r="K99" s="485" t="s">
        <v>150</v>
      </c>
      <c r="L99" s="458"/>
      <c r="M99" s="458"/>
      <c r="N99" s="389"/>
      <c r="O99" s="393"/>
    </row>
    <row r="100" spans="2:15" ht="42" customHeight="1">
      <c r="B100" s="465"/>
      <c r="C100" s="470"/>
      <c r="D100" s="443"/>
      <c r="E100" s="414"/>
      <c r="F100" s="445"/>
      <c r="G100" s="449" t="s">
        <v>13</v>
      </c>
      <c r="H100" s="451" t="s">
        <v>151</v>
      </c>
      <c r="I100" s="507" t="s">
        <v>152</v>
      </c>
      <c r="J100" s="445"/>
      <c r="K100" s="485"/>
      <c r="L100" s="458"/>
      <c r="M100" s="458"/>
      <c r="N100" s="389"/>
      <c r="O100" s="393"/>
    </row>
    <row r="101" spans="2:15" ht="87.75" customHeight="1" thickBot="1">
      <c r="B101" s="466"/>
      <c r="C101" s="471"/>
      <c r="D101" s="444"/>
      <c r="E101" s="415"/>
      <c r="F101" s="446"/>
      <c r="G101" s="450"/>
      <c r="H101" s="452"/>
      <c r="I101" s="415"/>
      <c r="J101" s="446"/>
      <c r="K101" s="486"/>
      <c r="L101" s="458"/>
      <c r="M101" s="458"/>
      <c r="N101" s="389"/>
      <c r="O101" s="393"/>
    </row>
    <row r="102" spans="2:15" ht="90" customHeight="1">
      <c r="B102" s="460" t="str">
        <f>+LEFT(C102,3)</f>
        <v>3.1</v>
      </c>
      <c r="C102" s="395" t="s">
        <v>167</v>
      </c>
      <c r="D102" s="398" t="s">
        <v>168</v>
      </c>
      <c r="E102" s="384" t="s">
        <v>169</v>
      </c>
      <c r="F102" s="425">
        <v>3</v>
      </c>
      <c r="G102" s="127">
        <v>1</v>
      </c>
      <c r="H102" s="153" t="s">
        <v>170</v>
      </c>
      <c r="I102" s="401" t="s">
        <v>923</v>
      </c>
      <c r="J102" s="437">
        <v>2</v>
      </c>
      <c r="K102" s="484" t="str">
        <f>+IF(OR(ISBLANK(F102),ISBLANK(J102)),"",IF(OR(AND(F102=1,J102=1),AND(F102=1,J102=2),AND(F102=1,J102=3)),"Deficiencia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Deficiencia de control (diseño o ejecución)</v>
      </c>
      <c r="L102" s="457">
        <f>+IF(K102="",0,IF(K102="Deficiencia de control mayor (diseño y ejecución)",4,IF(K102="Deficiencia de control (diseño o ejecución)",20,IF(K102="Oportunidad de mejora",40,60))))</f>
        <v>20</v>
      </c>
      <c r="M102" s="457">
        <v>0.28965000000000002</v>
      </c>
      <c r="N102" s="383">
        <f>+L102+M102</f>
        <v>20.289650000000002</v>
      </c>
      <c r="O102" s="391"/>
    </row>
    <row r="103" spans="2:15" ht="40.5" customHeight="1">
      <c r="B103" s="461"/>
      <c r="C103" s="396"/>
      <c r="D103" s="399"/>
      <c r="E103" s="385"/>
      <c r="F103" s="426"/>
      <c r="G103" s="125">
        <v>2</v>
      </c>
      <c r="H103" s="154" t="s">
        <v>171</v>
      </c>
      <c r="I103" s="402"/>
      <c r="J103" s="438"/>
      <c r="K103" s="479"/>
      <c r="L103" s="457"/>
      <c r="M103" s="457"/>
      <c r="N103" s="383"/>
      <c r="O103" s="391"/>
    </row>
    <row r="104" spans="2:15" ht="49.5">
      <c r="B104" s="461"/>
      <c r="C104" s="396"/>
      <c r="D104" s="399"/>
      <c r="E104" s="385"/>
      <c r="F104" s="426"/>
      <c r="G104" s="125">
        <v>3</v>
      </c>
      <c r="H104" s="154" t="s">
        <v>172</v>
      </c>
      <c r="I104" s="402"/>
      <c r="J104" s="438"/>
      <c r="K104" s="479"/>
      <c r="L104" s="457"/>
      <c r="M104" s="457"/>
      <c r="N104" s="383"/>
      <c r="O104" s="391"/>
    </row>
    <row r="105" spans="2:15" ht="33">
      <c r="B105" s="461"/>
      <c r="C105" s="396"/>
      <c r="D105" s="399"/>
      <c r="E105" s="385"/>
      <c r="F105" s="426"/>
      <c r="G105" s="125">
        <v>4</v>
      </c>
      <c r="H105" s="168" t="s">
        <v>173</v>
      </c>
      <c r="I105" s="402"/>
      <c r="J105" s="438"/>
      <c r="K105" s="479"/>
      <c r="L105" s="457"/>
      <c r="M105" s="457"/>
      <c r="N105" s="383"/>
      <c r="O105" s="391"/>
    </row>
    <row r="106" spans="2:15" ht="23.25" customHeight="1">
      <c r="B106" s="461"/>
      <c r="C106" s="396"/>
      <c r="D106" s="399"/>
      <c r="E106" s="385"/>
      <c r="F106" s="426"/>
      <c r="G106" s="125">
        <v>5</v>
      </c>
      <c r="H106" s="154" t="s">
        <v>174</v>
      </c>
      <c r="I106" s="402"/>
      <c r="J106" s="438"/>
      <c r="K106" s="479"/>
      <c r="L106" s="457"/>
      <c r="M106" s="457"/>
      <c r="N106" s="383"/>
      <c r="O106" s="391"/>
    </row>
    <row r="107" spans="2:15" ht="24.75" customHeight="1">
      <c r="B107" s="461"/>
      <c r="C107" s="396"/>
      <c r="D107" s="399"/>
      <c r="E107" s="385"/>
      <c r="F107" s="426"/>
      <c r="G107" s="125">
        <v>6</v>
      </c>
      <c r="H107" s="9"/>
      <c r="I107" s="402"/>
      <c r="J107" s="438"/>
      <c r="K107" s="479"/>
      <c r="L107" s="457"/>
      <c r="M107" s="457"/>
      <c r="N107" s="383"/>
      <c r="O107" s="391"/>
    </row>
    <row r="108" spans="2:15" ht="16.5">
      <c r="B108" s="461"/>
      <c r="C108" s="396"/>
      <c r="D108" s="399"/>
      <c r="E108" s="385"/>
      <c r="F108" s="426"/>
      <c r="G108" s="125">
        <v>7</v>
      </c>
      <c r="H108" s="154"/>
      <c r="I108" s="402"/>
      <c r="J108" s="438"/>
      <c r="K108" s="479"/>
      <c r="L108" s="457"/>
      <c r="M108" s="457"/>
      <c r="N108" s="383"/>
      <c r="O108" s="391"/>
    </row>
    <row r="109" spans="2:15" ht="17.25" thickBot="1">
      <c r="B109" s="462"/>
      <c r="C109" s="397"/>
      <c r="D109" s="400"/>
      <c r="E109" s="386"/>
      <c r="F109" s="427"/>
      <c r="G109" s="126">
        <v>8</v>
      </c>
      <c r="H109" s="155"/>
      <c r="I109" s="403"/>
      <c r="J109" s="439"/>
      <c r="K109" s="480"/>
      <c r="L109" s="457"/>
      <c r="M109" s="457"/>
      <c r="N109" s="383"/>
      <c r="O109" s="391"/>
    </row>
    <row r="110" spans="2:15" ht="69.75" customHeight="1">
      <c r="B110" s="460" t="str">
        <f>+LEFT(C110,3)</f>
        <v>3.2</v>
      </c>
      <c r="C110" s="555" t="s">
        <v>175</v>
      </c>
      <c r="D110" s="398" t="s">
        <v>176</v>
      </c>
      <c r="E110" s="380" t="s">
        <v>915</v>
      </c>
      <c r="F110" s="425">
        <v>3</v>
      </c>
      <c r="G110" s="127">
        <v>1</v>
      </c>
      <c r="H110" s="154" t="s">
        <v>170</v>
      </c>
      <c r="I110" s="401" t="s">
        <v>916</v>
      </c>
      <c r="J110" s="428">
        <v>3</v>
      </c>
      <c r="K110" s="484" t="str">
        <f>+IF(OR(ISBLANK(F110),ISBLANK(J110)),"",IF(OR(AND(F110=1,J110=1),AND(F110=1,J110=2),AND(F110=1,J110=3)),"Deficiencia de control mayor (diseño y ejecución)",IF(OR(AND(F110=2,J110=2),AND(F110=3,J110=1),AND(F110=3,J110=2),AND(F110=2,J110=1)),"Deficiencia de control (diseño o ejecución)",IF(AND(F110=2,J110=3),"Oportunidad de mejora","Mantenimiento del control"))))</f>
        <v>Mantenimiento del control</v>
      </c>
      <c r="L110" s="457">
        <f>+IF(K110="",0,IF(K110="Deficiencia de control mayor (diseño y ejecución)",4,IF(K110="Deficiencia de control (diseño o ejecución)",20,IF(K110="Oportunidad de mejora",40,60))))</f>
        <v>60</v>
      </c>
      <c r="M110" s="457">
        <v>0.38965300000000003</v>
      </c>
      <c r="N110" s="383">
        <f>+L110+M110</f>
        <v>60.389653000000003</v>
      </c>
      <c r="O110" s="391"/>
    </row>
    <row r="111" spans="2:15" ht="33">
      <c r="B111" s="461"/>
      <c r="C111" s="556"/>
      <c r="D111" s="399"/>
      <c r="E111" s="381"/>
      <c r="F111" s="426"/>
      <c r="G111" s="125">
        <v>2</v>
      </c>
      <c r="H111" s="168" t="s">
        <v>171</v>
      </c>
      <c r="I111" s="402"/>
      <c r="J111" s="429"/>
      <c r="K111" s="479"/>
      <c r="L111" s="457"/>
      <c r="M111" s="457"/>
      <c r="N111" s="383"/>
      <c r="O111" s="391"/>
    </row>
    <row r="112" spans="2:15" ht="33">
      <c r="B112" s="461"/>
      <c r="C112" s="556"/>
      <c r="D112" s="399"/>
      <c r="E112" s="381"/>
      <c r="F112" s="426"/>
      <c r="G112" s="125">
        <v>3</v>
      </c>
      <c r="H112" s="154" t="s">
        <v>177</v>
      </c>
      <c r="I112" s="402"/>
      <c r="J112" s="429"/>
      <c r="K112" s="479"/>
      <c r="L112" s="457"/>
      <c r="M112" s="457"/>
      <c r="N112" s="383"/>
      <c r="O112" s="391"/>
    </row>
    <row r="113" spans="2:15" ht="24" customHeight="1">
      <c r="B113" s="461"/>
      <c r="C113" s="556"/>
      <c r="D113" s="399"/>
      <c r="E113" s="381"/>
      <c r="F113" s="426"/>
      <c r="G113" s="125">
        <v>4</v>
      </c>
      <c r="H113" s="168" t="s">
        <v>174</v>
      </c>
      <c r="I113" s="402"/>
      <c r="J113" s="429"/>
      <c r="K113" s="479"/>
      <c r="L113" s="457"/>
      <c r="M113" s="457"/>
      <c r="N113" s="383"/>
      <c r="O113" s="391"/>
    </row>
    <row r="114" spans="2:15" ht="16.5">
      <c r="B114" s="461"/>
      <c r="C114" s="556"/>
      <c r="D114" s="399"/>
      <c r="E114" s="381"/>
      <c r="F114" s="426"/>
      <c r="G114" s="125">
        <v>5</v>
      </c>
      <c r="H114" s="122"/>
      <c r="I114" s="402"/>
      <c r="J114" s="429"/>
      <c r="K114" s="479"/>
      <c r="L114" s="457"/>
      <c r="M114" s="457"/>
      <c r="N114" s="383"/>
      <c r="O114" s="391"/>
    </row>
    <row r="115" spans="2:15" ht="16.5">
      <c r="B115" s="461"/>
      <c r="C115" s="556"/>
      <c r="D115" s="399"/>
      <c r="E115" s="381"/>
      <c r="F115" s="426"/>
      <c r="G115" s="125">
        <v>6</v>
      </c>
      <c r="H115" s="122"/>
      <c r="I115" s="402"/>
      <c r="J115" s="429"/>
      <c r="K115" s="479"/>
      <c r="L115" s="457"/>
      <c r="M115" s="457"/>
      <c r="N115" s="383"/>
      <c r="O115" s="391"/>
    </row>
    <row r="116" spans="2:15" ht="16.5">
      <c r="B116" s="461"/>
      <c r="C116" s="556"/>
      <c r="D116" s="399"/>
      <c r="E116" s="381"/>
      <c r="F116" s="426"/>
      <c r="G116" s="125">
        <v>7</v>
      </c>
      <c r="H116" s="122"/>
      <c r="I116" s="402"/>
      <c r="J116" s="429"/>
      <c r="K116" s="479"/>
      <c r="L116" s="457"/>
      <c r="M116" s="457"/>
      <c r="N116" s="383"/>
      <c r="O116" s="391"/>
    </row>
    <row r="117" spans="2:15" ht="17.25" thickBot="1">
      <c r="B117" s="462"/>
      <c r="C117" s="557"/>
      <c r="D117" s="400"/>
      <c r="E117" s="382"/>
      <c r="F117" s="427"/>
      <c r="G117" s="126">
        <v>8</v>
      </c>
      <c r="H117" s="123"/>
      <c r="I117" s="403"/>
      <c r="J117" s="430"/>
      <c r="K117" s="480"/>
      <c r="L117" s="457"/>
      <c r="M117" s="457"/>
      <c r="N117" s="383"/>
      <c r="O117" s="391"/>
    </row>
    <row r="118" spans="2:15" ht="33" customHeight="1">
      <c r="B118" s="460" t="str">
        <f>+LEFT(C118,3)</f>
        <v>3.3</v>
      </c>
      <c r="C118" s="552" t="s">
        <v>178</v>
      </c>
      <c r="D118" s="398" t="s">
        <v>179</v>
      </c>
      <c r="E118" s="380" t="s">
        <v>180</v>
      </c>
      <c r="F118" s="431">
        <v>3</v>
      </c>
      <c r="G118" s="127">
        <v>1</v>
      </c>
      <c r="H118" s="156" t="s">
        <v>803</v>
      </c>
      <c r="I118" s="377" t="s">
        <v>707</v>
      </c>
      <c r="J118" s="549">
        <v>3</v>
      </c>
      <c r="K118" s="484" t="str">
        <f>+IF(OR(ISBLANK(F118),ISBLANK(J118)),"",IF(OR(AND(F118=1,J118=1),AND(F118=1,J118=2),AND(F118=1,J118=3)),"Deficiencia de control mayor (diseño y ejecución)",IF(OR(AND(F118=2,J118=2),AND(F118=3,J118=1),AND(F118=3,J118=2),AND(F118=2,J118=1)),"Deficiencia de control (diseño o ejecución)",IF(AND(F118=2,J118=3),"Oportunidad de mejora","Mantenimiento del control"))))</f>
        <v>Mantenimiento del control</v>
      </c>
      <c r="L118" s="457">
        <f>+IF(K118="",0,IF(K118="Deficiencia de control mayor (diseño y ejecución)",4,IF(K118="Deficiencia de control (diseño o ejecución)",20,IF(K118="Oportunidad de mejora",40,60))))</f>
        <v>60</v>
      </c>
      <c r="M118" s="457">
        <v>0.48964999999999997</v>
      </c>
      <c r="N118" s="383">
        <f>+L118+M118</f>
        <v>60.489649999999997</v>
      </c>
      <c r="O118" s="391"/>
    </row>
    <row r="119" spans="2:15" ht="33" customHeight="1">
      <c r="B119" s="461"/>
      <c r="C119" s="553"/>
      <c r="D119" s="399"/>
      <c r="E119" s="381"/>
      <c r="F119" s="432"/>
      <c r="G119" s="125">
        <v>2</v>
      </c>
      <c r="H119" s="154" t="s">
        <v>182</v>
      </c>
      <c r="I119" s="378"/>
      <c r="J119" s="550"/>
      <c r="K119" s="479"/>
      <c r="L119" s="457"/>
      <c r="M119" s="457"/>
      <c r="N119" s="383"/>
      <c r="O119" s="391"/>
    </row>
    <row r="120" spans="2:15" ht="56.25" customHeight="1">
      <c r="B120" s="461"/>
      <c r="C120" s="553"/>
      <c r="D120" s="399"/>
      <c r="E120" s="381"/>
      <c r="F120" s="432"/>
      <c r="G120" s="125">
        <v>3</v>
      </c>
      <c r="H120" s="154" t="s">
        <v>183</v>
      </c>
      <c r="I120" s="378"/>
      <c r="J120" s="550"/>
      <c r="K120" s="479"/>
      <c r="L120" s="457"/>
      <c r="M120" s="457"/>
      <c r="N120" s="383"/>
      <c r="O120" s="391"/>
    </row>
    <row r="121" spans="2:15" ht="33" customHeight="1">
      <c r="B121" s="461"/>
      <c r="C121" s="553"/>
      <c r="D121" s="399"/>
      <c r="E121" s="381"/>
      <c r="F121" s="432"/>
      <c r="G121" s="125">
        <v>4</v>
      </c>
      <c r="H121" s="154" t="s">
        <v>184</v>
      </c>
      <c r="I121" s="378"/>
      <c r="J121" s="550"/>
      <c r="K121" s="479"/>
      <c r="L121" s="457"/>
      <c r="M121" s="457"/>
      <c r="N121" s="383"/>
      <c r="O121" s="391"/>
    </row>
    <row r="122" spans="2:15" ht="33" customHeight="1">
      <c r="B122" s="461"/>
      <c r="C122" s="553"/>
      <c r="D122" s="399"/>
      <c r="E122" s="381"/>
      <c r="F122" s="432"/>
      <c r="G122" s="125">
        <v>5</v>
      </c>
      <c r="H122" s="154" t="s">
        <v>185</v>
      </c>
      <c r="I122" s="378"/>
      <c r="J122" s="550"/>
      <c r="K122" s="479"/>
      <c r="L122" s="457"/>
      <c r="M122" s="457"/>
      <c r="N122" s="383"/>
      <c r="O122" s="391"/>
    </row>
    <row r="123" spans="2:15" ht="33" customHeight="1">
      <c r="B123" s="461"/>
      <c r="C123" s="553"/>
      <c r="D123" s="399"/>
      <c r="E123" s="381"/>
      <c r="F123" s="432"/>
      <c r="G123" s="125">
        <v>6</v>
      </c>
      <c r="H123" s="154" t="s">
        <v>186</v>
      </c>
      <c r="I123" s="378"/>
      <c r="J123" s="550"/>
      <c r="K123" s="479"/>
      <c r="L123" s="457"/>
      <c r="M123" s="457"/>
      <c r="N123" s="383"/>
      <c r="O123" s="391"/>
    </row>
    <row r="124" spans="2:15" ht="33" customHeight="1">
      <c r="B124" s="461"/>
      <c r="C124" s="553"/>
      <c r="D124" s="399"/>
      <c r="E124" s="381"/>
      <c r="F124" s="432"/>
      <c r="G124" s="125">
        <v>7</v>
      </c>
      <c r="H124" s="154" t="s">
        <v>187</v>
      </c>
      <c r="I124" s="378"/>
      <c r="J124" s="550"/>
      <c r="K124" s="479"/>
      <c r="L124" s="457"/>
      <c r="M124" s="457"/>
      <c r="N124" s="383"/>
      <c r="O124" s="391"/>
    </row>
    <row r="125" spans="2:15" ht="51" customHeight="1" thickBot="1">
      <c r="B125" s="462"/>
      <c r="C125" s="554"/>
      <c r="D125" s="400"/>
      <c r="E125" s="382"/>
      <c r="F125" s="433"/>
      <c r="G125" s="126">
        <v>8</v>
      </c>
      <c r="H125" s="155" t="s">
        <v>188</v>
      </c>
      <c r="I125" s="379"/>
      <c r="J125" s="551"/>
      <c r="K125" s="480"/>
      <c r="L125" s="457"/>
      <c r="M125" s="457"/>
      <c r="N125" s="383"/>
      <c r="O125" s="391"/>
    </row>
    <row r="126" spans="2:15" ht="27.75" customHeight="1">
      <c r="B126" s="463"/>
      <c r="C126" s="440" t="s">
        <v>189</v>
      </c>
      <c r="D126" s="442" t="s">
        <v>8</v>
      </c>
      <c r="E126" s="413" t="s">
        <v>147</v>
      </c>
      <c r="F126" s="445" t="s">
        <v>148</v>
      </c>
      <c r="G126" s="453" t="s">
        <v>115</v>
      </c>
      <c r="H126" s="454"/>
      <c r="I126" s="455"/>
      <c r="J126" s="447" t="s">
        <v>149</v>
      </c>
      <c r="K126" s="487" t="s">
        <v>150</v>
      </c>
      <c r="L126" s="458"/>
      <c r="M126" s="458"/>
      <c r="N126" s="389"/>
      <c r="O126" s="393"/>
    </row>
    <row r="127" spans="2:15" ht="66" customHeight="1">
      <c r="B127" s="464"/>
      <c r="C127" s="441"/>
      <c r="D127" s="443"/>
      <c r="E127" s="414"/>
      <c r="F127" s="445"/>
      <c r="G127" s="449" t="s">
        <v>13</v>
      </c>
      <c r="H127" s="451" t="s">
        <v>151</v>
      </c>
      <c r="I127" s="507" t="s">
        <v>152</v>
      </c>
      <c r="J127" s="445"/>
      <c r="K127" s="485"/>
      <c r="L127" s="458"/>
      <c r="M127" s="458"/>
      <c r="N127" s="389"/>
      <c r="O127" s="393"/>
    </row>
    <row r="128" spans="2:15" ht="14.25" customHeight="1" thickBot="1">
      <c r="B128" s="464"/>
      <c r="C128" s="441"/>
      <c r="D128" s="444"/>
      <c r="E128" s="415"/>
      <c r="F128" s="446"/>
      <c r="G128" s="450"/>
      <c r="H128" s="452"/>
      <c r="I128" s="415"/>
      <c r="J128" s="448"/>
      <c r="K128" s="488"/>
      <c r="L128" s="458"/>
      <c r="M128" s="458"/>
      <c r="N128" s="389"/>
      <c r="O128" s="393"/>
    </row>
    <row r="129" spans="2:15" ht="74.25" customHeight="1">
      <c r="B129" s="460" t="str">
        <f>+LEFT(C129,3)</f>
        <v>4.1</v>
      </c>
      <c r="C129" s="395" t="s">
        <v>190</v>
      </c>
      <c r="D129" s="398" t="s">
        <v>191</v>
      </c>
      <c r="E129" s="384" t="s">
        <v>924</v>
      </c>
      <c r="F129" s="425">
        <v>3</v>
      </c>
      <c r="G129" s="127">
        <v>1</v>
      </c>
      <c r="H129" s="153" t="s">
        <v>192</v>
      </c>
      <c r="I129" s="377" t="s">
        <v>885</v>
      </c>
      <c r="J129" s="432">
        <v>3</v>
      </c>
      <c r="K129" s="489" t="str">
        <f>+IF(OR(ISBLANK(F129),ISBLANK(J129)),"",IF(OR(AND(F129=1,J129=1),AND(F129=1,J129=2),AND(F129=1,J129=3)),"Deficiencia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Mantenimiento del control</v>
      </c>
      <c r="L129" s="457">
        <f>+IF(K129="",0,IF(K129="Deficiencia de control mayor (diseño y ejecución)",4,IF(K129="Deficiencia de control (diseño o ejecución)",20,IF(K129="Oportunidad de mejora",40,60))))</f>
        <v>60</v>
      </c>
      <c r="M129" s="457">
        <v>0.58965000000000001</v>
      </c>
      <c r="N129" s="383">
        <f>+L129+M129</f>
        <v>60.589649999999999</v>
      </c>
      <c r="O129" s="391"/>
    </row>
    <row r="130" spans="2:15" ht="76.5" customHeight="1">
      <c r="B130" s="461"/>
      <c r="C130" s="396"/>
      <c r="D130" s="399"/>
      <c r="E130" s="385"/>
      <c r="F130" s="426"/>
      <c r="G130" s="125">
        <v>2</v>
      </c>
      <c r="H130" s="154" t="s">
        <v>193</v>
      </c>
      <c r="I130" s="378"/>
      <c r="J130" s="432"/>
      <c r="K130" s="456"/>
      <c r="L130" s="457"/>
      <c r="M130" s="457"/>
      <c r="N130" s="383"/>
      <c r="O130" s="391"/>
    </row>
    <row r="131" spans="2:15" ht="72.75" customHeight="1">
      <c r="B131" s="461"/>
      <c r="C131" s="396"/>
      <c r="D131" s="399"/>
      <c r="E131" s="385"/>
      <c r="F131" s="426"/>
      <c r="G131" s="125">
        <v>3</v>
      </c>
      <c r="H131" s="154" t="s">
        <v>194</v>
      </c>
      <c r="I131" s="378"/>
      <c r="J131" s="432"/>
      <c r="K131" s="456"/>
      <c r="L131" s="457"/>
      <c r="M131" s="457"/>
      <c r="N131" s="383"/>
      <c r="O131" s="391"/>
    </row>
    <row r="132" spans="2:15" ht="37.5" customHeight="1">
      <c r="B132" s="461"/>
      <c r="C132" s="396"/>
      <c r="D132" s="399"/>
      <c r="E132" s="385"/>
      <c r="F132" s="426"/>
      <c r="G132" s="125">
        <v>4</v>
      </c>
      <c r="H132" s="122" t="s">
        <v>804</v>
      </c>
      <c r="I132" s="378"/>
      <c r="J132" s="432"/>
      <c r="K132" s="456"/>
      <c r="L132" s="457"/>
      <c r="M132" s="457"/>
      <c r="N132" s="383"/>
      <c r="O132" s="391"/>
    </row>
    <row r="133" spans="2:15" ht="21" customHeight="1">
      <c r="B133" s="461"/>
      <c r="C133" s="396"/>
      <c r="D133" s="399"/>
      <c r="E133" s="385"/>
      <c r="F133" s="426"/>
      <c r="G133" s="125">
        <v>5</v>
      </c>
      <c r="H133" s="122"/>
      <c r="I133" s="378"/>
      <c r="J133" s="432"/>
      <c r="K133" s="456"/>
      <c r="L133" s="457"/>
      <c r="M133" s="457"/>
      <c r="N133" s="383"/>
      <c r="O133" s="391"/>
    </row>
    <row r="134" spans="2:15" ht="21" customHeight="1">
      <c r="B134" s="461"/>
      <c r="C134" s="396"/>
      <c r="D134" s="399"/>
      <c r="E134" s="385"/>
      <c r="F134" s="426"/>
      <c r="G134" s="125">
        <v>6</v>
      </c>
      <c r="H134" s="122"/>
      <c r="I134" s="378"/>
      <c r="J134" s="432"/>
      <c r="K134" s="456"/>
      <c r="L134" s="457"/>
      <c r="M134" s="457"/>
      <c r="N134" s="383"/>
      <c r="O134" s="391"/>
    </row>
    <row r="135" spans="2:15" ht="21" customHeight="1">
      <c r="B135" s="461"/>
      <c r="C135" s="396"/>
      <c r="D135" s="399"/>
      <c r="E135" s="385"/>
      <c r="F135" s="426"/>
      <c r="G135" s="125">
        <v>7</v>
      </c>
      <c r="H135" s="122"/>
      <c r="I135" s="378"/>
      <c r="J135" s="432"/>
      <c r="K135" s="456"/>
      <c r="L135" s="457"/>
      <c r="M135" s="457"/>
      <c r="N135" s="383"/>
      <c r="O135" s="391"/>
    </row>
    <row r="136" spans="2:15" ht="21" customHeight="1" thickBot="1">
      <c r="B136" s="462"/>
      <c r="C136" s="397"/>
      <c r="D136" s="400"/>
      <c r="E136" s="386"/>
      <c r="F136" s="427"/>
      <c r="G136" s="126">
        <v>8</v>
      </c>
      <c r="H136" s="123"/>
      <c r="I136" s="379"/>
      <c r="J136" s="433"/>
      <c r="K136" s="456"/>
      <c r="L136" s="457"/>
      <c r="M136" s="457"/>
      <c r="N136" s="383"/>
      <c r="O136" s="391"/>
    </row>
    <row r="137" spans="2:15" ht="87" customHeight="1">
      <c r="B137" s="460" t="str">
        <f>+LEFT(C137,3)</f>
        <v>4.2</v>
      </c>
      <c r="C137" s="395" t="s">
        <v>195</v>
      </c>
      <c r="D137" s="398" t="s">
        <v>191</v>
      </c>
      <c r="E137" s="384" t="s">
        <v>887</v>
      </c>
      <c r="F137" s="425">
        <v>3</v>
      </c>
      <c r="G137" s="127">
        <v>1</v>
      </c>
      <c r="H137" s="153" t="s">
        <v>192</v>
      </c>
      <c r="I137" s="380" t="s">
        <v>886</v>
      </c>
      <c r="J137" s="431">
        <v>3</v>
      </c>
      <c r="K137" s="456" t="str">
        <f>+IF(OR(ISBLANK(F137),ISBLANK(J137)),"",IF(OR(AND(F137=1,J137=1),AND(F137=1,J137=2),AND(F137=1,J137=3)),"Deficiencia de control mayor (diseño y ejecución)",IF(OR(AND(F137=2,J137=2),AND(F137=3,J137=1),AND(F137=3,J137=2),AND(F137=2,J137=1)),"Deficiencia de control (diseño o ejecución)",IF(AND(F137=2,J137=3),"Oportunidad de mejora","Mantenimiento del control"))))</f>
        <v>Mantenimiento del control</v>
      </c>
      <c r="L137" s="457">
        <f>+IF(K137="",0,IF(K137="Deficiencia de control mayor (diseño y ejecución)",4,IF(K137="Deficiencia de control (diseño o ejecución)",20,IF(K137="Oportunidad de mejora",40,60))))</f>
        <v>60</v>
      </c>
      <c r="M137" s="457">
        <v>0.68964999999999999</v>
      </c>
      <c r="N137" s="383">
        <f>+L137+M137</f>
        <v>60.68965</v>
      </c>
      <c r="O137" s="391"/>
    </row>
    <row r="138" spans="2:15" ht="99.75" customHeight="1">
      <c r="B138" s="461"/>
      <c r="C138" s="396"/>
      <c r="D138" s="399"/>
      <c r="E138" s="385"/>
      <c r="F138" s="426"/>
      <c r="G138" s="125">
        <v>2</v>
      </c>
      <c r="H138" s="154" t="s">
        <v>196</v>
      </c>
      <c r="I138" s="381"/>
      <c r="J138" s="432"/>
      <c r="K138" s="456"/>
      <c r="L138" s="457"/>
      <c r="M138" s="457"/>
      <c r="N138" s="383"/>
      <c r="O138" s="391"/>
    </row>
    <row r="139" spans="2:15" ht="49.5">
      <c r="B139" s="461"/>
      <c r="C139" s="396"/>
      <c r="D139" s="399"/>
      <c r="E139" s="385"/>
      <c r="F139" s="426"/>
      <c r="G139" s="125">
        <v>3</v>
      </c>
      <c r="H139" s="154" t="s">
        <v>804</v>
      </c>
      <c r="I139" s="381"/>
      <c r="J139" s="432"/>
      <c r="K139" s="456"/>
      <c r="L139" s="457"/>
      <c r="M139" s="457"/>
      <c r="N139" s="383"/>
      <c r="O139" s="391"/>
    </row>
    <row r="140" spans="2:15" ht="21" customHeight="1">
      <c r="B140" s="461"/>
      <c r="C140" s="396"/>
      <c r="D140" s="399"/>
      <c r="E140" s="385"/>
      <c r="F140" s="426"/>
      <c r="G140" s="125">
        <v>4</v>
      </c>
      <c r="H140" s="122"/>
      <c r="I140" s="381"/>
      <c r="J140" s="432"/>
      <c r="K140" s="456"/>
      <c r="L140" s="457"/>
      <c r="M140" s="457"/>
      <c r="N140" s="383"/>
      <c r="O140" s="391"/>
    </row>
    <row r="141" spans="2:15" ht="21" customHeight="1">
      <c r="B141" s="461"/>
      <c r="C141" s="396"/>
      <c r="D141" s="399"/>
      <c r="E141" s="385"/>
      <c r="F141" s="426"/>
      <c r="G141" s="125">
        <v>5</v>
      </c>
      <c r="H141" s="122"/>
      <c r="I141" s="381"/>
      <c r="J141" s="432"/>
      <c r="K141" s="456"/>
      <c r="L141" s="457"/>
      <c r="M141" s="457"/>
      <c r="N141" s="383"/>
      <c r="O141" s="391"/>
    </row>
    <row r="142" spans="2:15" ht="21" customHeight="1">
      <c r="B142" s="461"/>
      <c r="C142" s="396"/>
      <c r="D142" s="399"/>
      <c r="E142" s="385"/>
      <c r="F142" s="426"/>
      <c r="G142" s="125">
        <v>6</v>
      </c>
      <c r="H142" s="122"/>
      <c r="I142" s="381"/>
      <c r="J142" s="432"/>
      <c r="K142" s="456"/>
      <c r="L142" s="457"/>
      <c r="M142" s="457"/>
      <c r="N142" s="383"/>
      <c r="O142" s="391"/>
    </row>
    <row r="143" spans="2:15" ht="21" customHeight="1">
      <c r="B143" s="461"/>
      <c r="C143" s="396"/>
      <c r="D143" s="399"/>
      <c r="E143" s="385"/>
      <c r="F143" s="426"/>
      <c r="G143" s="125">
        <v>7</v>
      </c>
      <c r="H143" s="122"/>
      <c r="I143" s="381"/>
      <c r="J143" s="432"/>
      <c r="K143" s="456"/>
      <c r="L143" s="457"/>
      <c r="M143" s="457"/>
      <c r="N143" s="383"/>
      <c r="O143" s="391"/>
    </row>
    <row r="144" spans="2:15" ht="21" customHeight="1" thickBot="1">
      <c r="B144" s="462"/>
      <c r="C144" s="397"/>
      <c r="D144" s="400"/>
      <c r="E144" s="386"/>
      <c r="F144" s="427"/>
      <c r="G144" s="126">
        <v>8</v>
      </c>
      <c r="H144" s="123"/>
      <c r="I144" s="382"/>
      <c r="J144" s="433"/>
      <c r="K144" s="456"/>
      <c r="L144" s="457"/>
      <c r="M144" s="457"/>
      <c r="N144" s="383"/>
      <c r="O144" s="391"/>
    </row>
    <row r="145" spans="2:15" ht="49.5">
      <c r="B145" s="460" t="str">
        <f>+LEFT(C145,3)</f>
        <v>4.3</v>
      </c>
      <c r="C145" s="395" t="s">
        <v>197</v>
      </c>
      <c r="D145" s="398" t="s">
        <v>191</v>
      </c>
      <c r="E145" s="384" t="s">
        <v>708</v>
      </c>
      <c r="F145" s="431">
        <v>3</v>
      </c>
      <c r="G145" s="127">
        <v>1</v>
      </c>
      <c r="H145" s="154" t="s">
        <v>709</v>
      </c>
      <c r="I145" s="380" t="s">
        <v>888</v>
      </c>
      <c r="J145" s="431">
        <v>3</v>
      </c>
      <c r="K145" s="456" t="str">
        <f>+IF(OR(ISBLANK(F145),ISBLANK(J145)),"",IF(OR(AND(F145=1,J145=1),AND(F145=1,J145=2),AND(F145=1,J145=3)),"Deficiencia de control mayor (diseño y ejecución)",IF(OR(AND(F145=2,J145=2),AND(F145=3,J145=1),AND(F145=3,J145=2),AND(F145=2,J145=1)),"Deficiencia de control (diseño o ejecución)",IF(AND(F145=2,J145=3),"Oportunidad de mejora","Mantenimiento del control"))))</f>
        <v>Mantenimiento del control</v>
      </c>
      <c r="L145" s="457">
        <f>+IF(K145="",0,IF(K145="Deficiencia de control mayor (diseño y ejecución)",4,IF(K145="Deficiencia de control (diseño o ejecución)",20,IF(K145="Oportunidad de mejora",40,60))))</f>
        <v>60</v>
      </c>
      <c r="M145" s="457">
        <v>0.78964999999999996</v>
      </c>
      <c r="N145" s="383">
        <f>+L145+M145</f>
        <v>60.789650000000002</v>
      </c>
      <c r="O145" s="391"/>
    </row>
    <row r="146" spans="2:15" ht="99">
      <c r="B146" s="461"/>
      <c r="C146" s="396"/>
      <c r="D146" s="399"/>
      <c r="E146" s="385"/>
      <c r="F146" s="432"/>
      <c r="G146" s="125">
        <v>2</v>
      </c>
      <c r="H146" s="154" t="s">
        <v>710</v>
      </c>
      <c r="I146" s="381"/>
      <c r="J146" s="432"/>
      <c r="K146" s="456"/>
      <c r="L146" s="457"/>
      <c r="M146" s="457"/>
      <c r="N146" s="383"/>
      <c r="O146" s="391"/>
    </row>
    <row r="147" spans="2:15" ht="49.5">
      <c r="B147" s="461"/>
      <c r="C147" s="396"/>
      <c r="D147" s="399"/>
      <c r="E147" s="385"/>
      <c r="F147" s="432"/>
      <c r="G147" s="125">
        <v>3</v>
      </c>
      <c r="H147" s="154" t="s">
        <v>198</v>
      </c>
      <c r="I147" s="381"/>
      <c r="J147" s="432"/>
      <c r="K147" s="456"/>
      <c r="L147" s="457"/>
      <c r="M147" s="457"/>
      <c r="N147" s="383"/>
      <c r="O147" s="391"/>
    </row>
    <row r="148" spans="2:15" ht="16.5">
      <c r="B148" s="461"/>
      <c r="C148" s="396"/>
      <c r="D148" s="399"/>
      <c r="E148" s="385"/>
      <c r="F148" s="432"/>
      <c r="G148" s="125">
        <v>4</v>
      </c>
      <c r="I148" s="381"/>
      <c r="J148" s="432"/>
      <c r="K148" s="456"/>
      <c r="L148" s="457"/>
      <c r="M148" s="457"/>
      <c r="N148" s="383"/>
      <c r="O148" s="391"/>
    </row>
    <row r="149" spans="2:15" ht="21" customHeight="1">
      <c r="B149" s="461"/>
      <c r="C149" s="396"/>
      <c r="D149" s="399"/>
      <c r="E149" s="385"/>
      <c r="F149" s="432"/>
      <c r="G149" s="125">
        <v>5</v>
      </c>
      <c r="H149" s="122"/>
      <c r="I149" s="381"/>
      <c r="J149" s="432"/>
      <c r="K149" s="456"/>
      <c r="L149" s="457"/>
      <c r="M149" s="457"/>
      <c r="N149" s="383"/>
      <c r="O149" s="391"/>
    </row>
    <row r="150" spans="2:15" ht="21" customHeight="1">
      <c r="B150" s="461"/>
      <c r="C150" s="396"/>
      <c r="D150" s="399"/>
      <c r="E150" s="385"/>
      <c r="F150" s="432"/>
      <c r="G150" s="125">
        <v>6</v>
      </c>
      <c r="H150" s="122"/>
      <c r="I150" s="381"/>
      <c r="J150" s="432"/>
      <c r="K150" s="456"/>
      <c r="L150" s="457"/>
      <c r="M150" s="457"/>
      <c r="N150" s="383"/>
      <c r="O150" s="391"/>
    </row>
    <row r="151" spans="2:15" ht="21" customHeight="1">
      <c r="B151" s="461"/>
      <c r="C151" s="396"/>
      <c r="D151" s="399"/>
      <c r="E151" s="385"/>
      <c r="F151" s="432"/>
      <c r="G151" s="125">
        <v>7</v>
      </c>
      <c r="H151" s="122"/>
      <c r="I151" s="381"/>
      <c r="J151" s="432"/>
      <c r="K151" s="456"/>
      <c r="L151" s="457"/>
      <c r="M151" s="457"/>
      <c r="N151" s="383"/>
      <c r="O151" s="391"/>
    </row>
    <row r="152" spans="2:15" ht="21" customHeight="1" thickBot="1">
      <c r="B152" s="462"/>
      <c r="C152" s="397"/>
      <c r="D152" s="400"/>
      <c r="E152" s="386"/>
      <c r="F152" s="433"/>
      <c r="G152" s="126">
        <v>8</v>
      </c>
      <c r="H152" s="123"/>
      <c r="I152" s="382"/>
      <c r="J152" s="433"/>
      <c r="K152" s="456"/>
      <c r="L152" s="457"/>
      <c r="M152" s="457"/>
      <c r="N152" s="383"/>
      <c r="O152" s="391"/>
    </row>
    <row r="153" spans="2:15" ht="33">
      <c r="B153" s="460" t="str">
        <f>+LEFT(C153,3)</f>
        <v>4.4</v>
      </c>
      <c r="C153" s="416" t="s">
        <v>199</v>
      </c>
      <c r="D153" s="419" t="s">
        <v>191</v>
      </c>
      <c r="E153" s="380" t="s">
        <v>723</v>
      </c>
      <c r="F153" s="431">
        <v>3</v>
      </c>
      <c r="G153" s="127">
        <v>1</v>
      </c>
      <c r="H153" s="156" t="s">
        <v>724</v>
      </c>
      <c r="I153" s="380" t="s">
        <v>889</v>
      </c>
      <c r="J153" s="431">
        <v>3</v>
      </c>
      <c r="K153" s="456" t="str">
        <f>+IF(OR(ISBLANK(F153),ISBLANK(J153)),"",IF(OR(AND(F153=1,J153=1),AND(F153=1,J153=2),AND(F153=1,J153=3)),"Deficiencia de control mayor (diseño y ejecución)",IF(OR(AND(F153=2,J153=2),AND(F153=3,J153=1),AND(F153=3,J153=2),AND(F153=2,J153=1)),"Deficiencia de control (diseño o ejecución)",IF(AND(F153=2,J153=3),"Oportunidad de mejora","Mantenimiento del control"))))</f>
        <v>Mantenimiento del control</v>
      </c>
      <c r="L153" s="457">
        <f>+IF(K153="",0,IF(K153="Deficiencia de control mayor (diseño y ejecución)",4,IF(K153="Deficiencia de control (diseño o ejecución)",20,IF(K153="Oportunidad de mejora",40,60))))</f>
        <v>60</v>
      </c>
      <c r="M153" s="457">
        <v>0.88965000000000005</v>
      </c>
      <c r="N153" s="383">
        <f>+L153+M153</f>
        <v>60.889650000000003</v>
      </c>
      <c r="O153" s="391"/>
    </row>
    <row r="154" spans="2:15" ht="35.25" customHeight="1">
      <c r="B154" s="461"/>
      <c r="C154" s="417"/>
      <c r="D154" s="420"/>
      <c r="E154" s="381"/>
      <c r="F154" s="432"/>
      <c r="G154" s="125">
        <v>2</v>
      </c>
      <c r="H154" s="154"/>
      <c r="I154" s="381"/>
      <c r="J154" s="432"/>
      <c r="K154" s="456"/>
      <c r="L154" s="457"/>
      <c r="M154" s="457"/>
      <c r="N154" s="383"/>
      <c r="O154" s="391"/>
    </row>
    <row r="155" spans="2:15" ht="21" customHeight="1">
      <c r="B155" s="461"/>
      <c r="C155" s="417"/>
      <c r="D155" s="420"/>
      <c r="E155" s="381"/>
      <c r="F155" s="432"/>
      <c r="G155" s="125">
        <v>3</v>
      </c>
      <c r="H155" s="154"/>
      <c r="I155" s="381"/>
      <c r="J155" s="432"/>
      <c r="K155" s="456"/>
      <c r="L155" s="457"/>
      <c r="M155" s="457"/>
      <c r="N155" s="383"/>
      <c r="O155" s="391"/>
    </row>
    <row r="156" spans="2:15" ht="21" customHeight="1">
      <c r="B156" s="461"/>
      <c r="C156" s="417"/>
      <c r="D156" s="420"/>
      <c r="E156" s="381"/>
      <c r="F156" s="432"/>
      <c r="G156" s="125">
        <v>4</v>
      </c>
      <c r="H156" s="154"/>
      <c r="I156" s="381"/>
      <c r="J156" s="432"/>
      <c r="K156" s="456"/>
      <c r="L156" s="457"/>
      <c r="M156" s="457"/>
      <c r="N156" s="383"/>
      <c r="O156" s="391"/>
    </row>
    <row r="157" spans="2:15" ht="21" customHeight="1">
      <c r="B157" s="461"/>
      <c r="C157" s="417"/>
      <c r="D157" s="420"/>
      <c r="E157" s="381"/>
      <c r="F157" s="432"/>
      <c r="G157" s="125">
        <v>5</v>
      </c>
      <c r="H157" s="154"/>
      <c r="I157" s="381"/>
      <c r="J157" s="432"/>
      <c r="K157" s="456"/>
      <c r="L157" s="457"/>
      <c r="M157" s="457"/>
      <c r="N157" s="383"/>
      <c r="O157" s="391"/>
    </row>
    <row r="158" spans="2:15" ht="21" customHeight="1">
      <c r="B158" s="461"/>
      <c r="C158" s="417"/>
      <c r="D158" s="420"/>
      <c r="E158" s="381"/>
      <c r="F158" s="432"/>
      <c r="G158" s="125">
        <v>6</v>
      </c>
      <c r="H158" s="154"/>
      <c r="I158" s="381"/>
      <c r="J158" s="432"/>
      <c r="K158" s="456"/>
      <c r="L158" s="457"/>
      <c r="M158" s="457"/>
      <c r="N158" s="383"/>
      <c r="O158" s="391"/>
    </row>
    <row r="159" spans="2:15" ht="21" customHeight="1">
      <c r="B159" s="461"/>
      <c r="C159" s="417"/>
      <c r="D159" s="420"/>
      <c r="E159" s="381"/>
      <c r="F159" s="432"/>
      <c r="G159" s="125">
        <v>7</v>
      </c>
      <c r="H159" s="154"/>
      <c r="I159" s="381"/>
      <c r="J159" s="432"/>
      <c r="K159" s="456"/>
      <c r="L159" s="457"/>
      <c r="M159" s="457"/>
      <c r="N159" s="383"/>
      <c r="O159" s="391"/>
    </row>
    <row r="160" spans="2:15" ht="71.25" customHeight="1" thickBot="1">
      <c r="B160" s="462"/>
      <c r="C160" s="418"/>
      <c r="D160" s="421"/>
      <c r="E160" s="382"/>
      <c r="F160" s="433"/>
      <c r="G160" s="126">
        <v>8</v>
      </c>
      <c r="H160" s="155"/>
      <c r="I160" s="382"/>
      <c r="J160" s="433"/>
      <c r="K160" s="456"/>
      <c r="L160" s="457"/>
      <c r="M160" s="457"/>
      <c r="N160" s="383"/>
      <c r="O160" s="391"/>
    </row>
    <row r="161" spans="2:15" ht="85.5" customHeight="1">
      <c r="B161" s="460" t="str">
        <f>+LEFT(C161,3)</f>
        <v>4.5</v>
      </c>
      <c r="C161" s="395" t="s">
        <v>200</v>
      </c>
      <c r="D161" s="398" t="s">
        <v>191</v>
      </c>
      <c r="E161" s="384" t="s">
        <v>711</v>
      </c>
      <c r="F161" s="431">
        <v>3</v>
      </c>
      <c r="G161" s="127">
        <v>1</v>
      </c>
      <c r="H161" s="154" t="s">
        <v>201</v>
      </c>
      <c r="I161" s="377" t="s">
        <v>890</v>
      </c>
      <c r="J161" s="431">
        <v>3</v>
      </c>
      <c r="K161" s="456" t="str">
        <f>+IF(OR(ISBLANK(F161),ISBLANK(J161)),"",IF(OR(AND(F161=1,J161=1),AND(F161=1,J161=2),AND(F161=1,J161=3)),"Deficiencia de control mayor (diseño y ejecución)",IF(OR(AND(F161=2,J161=2),AND(F161=3,J161=1),AND(F161=3,J161=2),AND(F161=2,J161=1)),"Deficiencia de control (diseño o ejecución)",IF(AND(F161=2,J161=3),"Oportunidad de mejora","Mantenimiento del control"))))</f>
        <v>Mantenimiento del control</v>
      </c>
      <c r="L161" s="457">
        <f>+IF(K161="",0,IF(K161="Deficiencia de control mayor (diseño y ejecución)",4,IF(K161="Deficiencia de control (diseño o ejecución)",20,IF(K161="Oportunidad de mejora",40,60))))</f>
        <v>60</v>
      </c>
      <c r="M161" s="457">
        <v>0.98965000000000003</v>
      </c>
      <c r="N161" s="387">
        <f>+L161+M161</f>
        <v>60.989649999999997</v>
      </c>
      <c r="O161" s="392"/>
    </row>
    <row r="162" spans="2:15" ht="66" customHeight="1">
      <c r="B162" s="461"/>
      <c r="C162" s="396"/>
      <c r="D162" s="399"/>
      <c r="E162" s="385"/>
      <c r="F162" s="432"/>
      <c r="G162" s="125">
        <v>2</v>
      </c>
      <c r="H162" s="169" t="s">
        <v>202</v>
      </c>
      <c r="I162" s="378"/>
      <c r="J162" s="432"/>
      <c r="K162" s="456"/>
      <c r="L162" s="457"/>
      <c r="M162" s="457"/>
      <c r="N162" s="387"/>
      <c r="O162" s="392"/>
    </row>
    <row r="163" spans="2:15" ht="78.75" customHeight="1">
      <c r="B163" s="461"/>
      <c r="C163" s="396"/>
      <c r="D163" s="399"/>
      <c r="E163" s="385"/>
      <c r="F163" s="432"/>
      <c r="G163" s="279">
        <v>3</v>
      </c>
      <c r="H163" s="280" t="s">
        <v>712</v>
      </c>
      <c r="I163" s="558"/>
      <c r="J163" s="432"/>
      <c r="K163" s="456"/>
      <c r="L163" s="457"/>
      <c r="M163" s="457"/>
      <c r="N163" s="387"/>
      <c r="O163" s="392"/>
    </row>
    <row r="164" spans="2:15" ht="13.5" customHeight="1">
      <c r="B164" s="461"/>
      <c r="C164" s="396"/>
      <c r="D164" s="399"/>
      <c r="E164" s="385"/>
      <c r="F164" s="432"/>
      <c r="G164" s="125">
        <v>4</v>
      </c>
      <c r="H164" s="153"/>
      <c r="I164" s="378"/>
      <c r="J164" s="432"/>
      <c r="K164" s="456"/>
      <c r="L164" s="457"/>
      <c r="M164" s="457"/>
      <c r="N164" s="387"/>
      <c r="O164" s="392"/>
    </row>
    <row r="165" spans="2:15" ht="21" customHeight="1">
      <c r="B165" s="461"/>
      <c r="C165" s="396"/>
      <c r="D165" s="399"/>
      <c r="E165" s="385"/>
      <c r="F165" s="432"/>
      <c r="G165" s="125">
        <v>5</v>
      </c>
      <c r="H165" s="154"/>
      <c r="I165" s="378"/>
      <c r="J165" s="432"/>
      <c r="K165" s="456"/>
      <c r="L165" s="457"/>
      <c r="M165" s="457"/>
      <c r="N165" s="387"/>
      <c r="O165" s="392"/>
    </row>
    <row r="166" spans="2:15" ht="21" customHeight="1">
      <c r="B166" s="461"/>
      <c r="C166" s="396"/>
      <c r="D166" s="399"/>
      <c r="E166" s="385"/>
      <c r="F166" s="432"/>
      <c r="G166" s="125">
        <v>6</v>
      </c>
      <c r="H166" s="154"/>
      <c r="I166" s="378"/>
      <c r="J166" s="432"/>
      <c r="K166" s="456"/>
      <c r="L166" s="457"/>
      <c r="M166" s="457"/>
      <c r="N166" s="387"/>
      <c r="O166" s="392"/>
    </row>
    <row r="167" spans="2:15" ht="21" customHeight="1">
      <c r="B167" s="461"/>
      <c r="C167" s="396"/>
      <c r="D167" s="399"/>
      <c r="E167" s="385"/>
      <c r="F167" s="432"/>
      <c r="G167" s="125">
        <v>7</v>
      </c>
      <c r="H167" s="154"/>
      <c r="I167" s="378"/>
      <c r="J167" s="432"/>
      <c r="K167" s="456"/>
      <c r="L167" s="457"/>
      <c r="M167" s="457"/>
      <c r="N167" s="387"/>
      <c r="O167" s="392"/>
    </row>
    <row r="168" spans="2:15" ht="21" customHeight="1" thickBot="1">
      <c r="B168" s="462"/>
      <c r="C168" s="397"/>
      <c r="D168" s="400"/>
      <c r="E168" s="386"/>
      <c r="F168" s="433"/>
      <c r="G168" s="126">
        <v>8</v>
      </c>
      <c r="H168" s="155"/>
      <c r="I168" s="379"/>
      <c r="J168" s="433"/>
      <c r="K168" s="456"/>
      <c r="L168" s="457"/>
      <c r="M168" s="457"/>
      <c r="N168" s="387"/>
      <c r="O168" s="392"/>
    </row>
    <row r="169" spans="2:15" ht="115.5">
      <c r="B169" s="460" t="str">
        <f>+LEFT(C169,3)</f>
        <v>4.6</v>
      </c>
      <c r="C169" s="395" t="s">
        <v>203</v>
      </c>
      <c r="D169" s="398" t="s">
        <v>191</v>
      </c>
      <c r="E169" s="377" t="s">
        <v>891</v>
      </c>
      <c r="F169" s="431">
        <v>3</v>
      </c>
      <c r="G169" s="127">
        <v>1</v>
      </c>
      <c r="H169" s="156" t="s">
        <v>713</v>
      </c>
      <c r="I169" s="377" t="s">
        <v>714</v>
      </c>
      <c r="J169" s="431">
        <v>3</v>
      </c>
      <c r="K169" s="434" t="str">
        <f>+IF(OR(ISBLANK(F169),ISBLANK(J169)),"",IF(OR(AND(F169=1,J169=1),AND(F169=1,J169=2),AND(F169=1,J169=3)),"Deficiencia de control mayor (diseño y ejecución)",IF(OR(AND(F169=2,J169=2),AND(F169=3,J169=1),AND(F169=3,J169=2),AND(F169=2,J169=1)),"Deficiencia de control (diseño o ejecución)",IF(AND(F169=2,J169=3),"Oportunidad de mejora","Mantenimiento del control"))))</f>
        <v>Mantenimiento del control</v>
      </c>
      <c r="L169" s="457">
        <f>+IF(K169="",0,IF(K169="Deficiencia de control mayor (diseño y ejecución)",4,IF(K169="Deficiencia de control (diseño o ejecución)",20,IF(K169="Oportunidad de mejora",40,60))))</f>
        <v>60</v>
      </c>
      <c r="M169" s="457">
        <v>0.98965199999999998</v>
      </c>
      <c r="N169" s="388">
        <f>+L169+M169</f>
        <v>60.989652</v>
      </c>
      <c r="O169" s="394"/>
    </row>
    <row r="170" spans="2:15" ht="16.5">
      <c r="B170" s="461"/>
      <c r="C170" s="396"/>
      <c r="D170" s="399"/>
      <c r="E170" s="378"/>
      <c r="F170" s="432"/>
      <c r="G170" s="125">
        <v>2</v>
      </c>
      <c r="H170" s="169"/>
      <c r="I170" s="378"/>
      <c r="J170" s="432"/>
      <c r="K170" s="435"/>
      <c r="L170" s="457"/>
      <c r="M170" s="457"/>
      <c r="N170" s="388"/>
      <c r="O170" s="394"/>
    </row>
    <row r="171" spans="2:15" ht="21" customHeight="1">
      <c r="B171" s="461"/>
      <c r="C171" s="396"/>
      <c r="D171" s="399"/>
      <c r="E171" s="378"/>
      <c r="F171" s="432"/>
      <c r="G171" s="125">
        <v>3</v>
      </c>
      <c r="H171" s="154"/>
      <c r="I171" s="378"/>
      <c r="J171" s="432"/>
      <c r="K171" s="435"/>
      <c r="L171" s="457"/>
      <c r="M171" s="457"/>
      <c r="N171" s="388"/>
      <c r="O171" s="394"/>
    </row>
    <row r="172" spans="2:15" ht="21" customHeight="1">
      <c r="B172" s="461"/>
      <c r="C172" s="396"/>
      <c r="D172" s="399"/>
      <c r="E172" s="378"/>
      <c r="F172" s="432"/>
      <c r="G172" s="125">
        <v>4</v>
      </c>
      <c r="H172" s="154"/>
      <c r="I172" s="378"/>
      <c r="J172" s="432"/>
      <c r="K172" s="435"/>
      <c r="L172" s="457"/>
      <c r="M172" s="457"/>
      <c r="N172" s="388"/>
      <c r="O172" s="394"/>
    </row>
    <row r="173" spans="2:15" ht="21" customHeight="1">
      <c r="B173" s="461"/>
      <c r="C173" s="396"/>
      <c r="D173" s="399"/>
      <c r="E173" s="378"/>
      <c r="F173" s="432"/>
      <c r="G173" s="125">
        <v>5</v>
      </c>
      <c r="H173" s="154"/>
      <c r="I173" s="378"/>
      <c r="J173" s="432"/>
      <c r="K173" s="435"/>
      <c r="L173" s="457"/>
      <c r="M173" s="457"/>
      <c r="N173" s="388"/>
      <c r="O173" s="394"/>
    </row>
    <row r="174" spans="2:15" ht="21" customHeight="1">
      <c r="B174" s="461"/>
      <c r="C174" s="396"/>
      <c r="D174" s="399"/>
      <c r="E174" s="378"/>
      <c r="F174" s="432"/>
      <c r="G174" s="125">
        <v>6</v>
      </c>
      <c r="H174" s="154"/>
      <c r="I174" s="378"/>
      <c r="J174" s="432"/>
      <c r="K174" s="435"/>
      <c r="L174" s="457"/>
      <c r="M174" s="457"/>
      <c r="N174" s="388"/>
      <c r="O174" s="394"/>
    </row>
    <row r="175" spans="2:15" ht="21" customHeight="1">
      <c r="B175" s="461"/>
      <c r="C175" s="396"/>
      <c r="D175" s="399"/>
      <c r="E175" s="378"/>
      <c r="F175" s="432"/>
      <c r="G175" s="125">
        <v>7</v>
      </c>
      <c r="H175" s="154"/>
      <c r="I175" s="378"/>
      <c r="J175" s="432"/>
      <c r="K175" s="435"/>
      <c r="L175" s="457"/>
      <c r="M175" s="457"/>
      <c r="N175" s="388"/>
      <c r="O175" s="394"/>
    </row>
    <row r="176" spans="2:15" ht="21" customHeight="1" thickBot="1">
      <c r="B176" s="462"/>
      <c r="C176" s="397"/>
      <c r="D176" s="400"/>
      <c r="E176" s="379"/>
      <c r="F176" s="433"/>
      <c r="G176" s="126">
        <v>8</v>
      </c>
      <c r="H176" s="155"/>
      <c r="I176" s="379"/>
      <c r="J176" s="433"/>
      <c r="K176" s="436"/>
      <c r="L176" s="457"/>
      <c r="M176" s="457"/>
      <c r="N176" s="388"/>
      <c r="O176" s="394"/>
    </row>
    <row r="177" spans="2:15" ht="82.5">
      <c r="B177" s="460" t="str">
        <f>+LEFT(C177,3)</f>
        <v>4.7</v>
      </c>
      <c r="C177" s="513" t="s">
        <v>204</v>
      </c>
      <c r="D177" s="398" t="s">
        <v>191</v>
      </c>
      <c r="E177" s="380" t="s">
        <v>725</v>
      </c>
      <c r="F177" s="404">
        <v>3</v>
      </c>
      <c r="G177" s="127">
        <v>1</v>
      </c>
      <c r="H177" s="156" t="s">
        <v>205</v>
      </c>
      <c r="I177" s="377" t="s">
        <v>805</v>
      </c>
      <c r="J177" s="516">
        <v>3</v>
      </c>
      <c r="K177" s="489" t="str">
        <f>+IF(OR(ISBLANK(F177),ISBLANK(J177)),"",IF(OR(AND(F177=1,J177=1),AND(F177=1,J177=2),AND(F177=1,J177=3)),"Deficiencia de control mayor (diseño y ejecución)",IF(OR(AND(F177=2,J177=2),AND(F177=3,J177=1),AND(F177=3,J177=2),AND(F177=2,J177=1)),"Deficiencia de control (diseño o ejecución)",IF(AND(F177=2,J177=3),"Oportunidad de mejora","Mantenimiento del control"))))</f>
        <v>Mantenimiento del control</v>
      </c>
      <c r="L177" s="457">
        <f>+IF(K177="",0,IF(K177="Deficiencia de control mayor (diseño y ejecución)",4,IF(K177="Deficiencia de control (diseño o ejecución)",20,IF(K177="Oportunidad de mejora",40,60))))</f>
        <v>60</v>
      </c>
      <c r="M177" s="457">
        <v>1.8962300000000001</v>
      </c>
      <c r="N177" s="383">
        <f>+L177+M177</f>
        <v>61.896230000000003</v>
      </c>
      <c r="O177" s="391"/>
    </row>
    <row r="178" spans="2:15" ht="49.5">
      <c r="B178" s="461"/>
      <c r="C178" s="514"/>
      <c r="D178" s="399"/>
      <c r="E178" s="381"/>
      <c r="F178" s="405"/>
      <c r="G178" s="125">
        <v>2</v>
      </c>
      <c r="H178" s="154" t="s">
        <v>726</v>
      </c>
      <c r="I178" s="378"/>
      <c r="J178" s="517"/>
      <c r="K178" s="456"/>
      <c r="L178" s="457"/>
      <c r="M178" s="457"/>
      <c r="N178" s="383"/>
      <c r="O178" s="391"/>
    </row>
    <row r="179" spans="2:15" ht="33">
      <c r="B179" s="461"/>
      <c r="C179" s="514"/>
      <c r="D179" s="399"/>
      <c r="E179" s="381"/>
      <c r="F179" s="405"/>
      <c r="G179" s="125">
        <v>3</v>
      </c>
      <c r="H179" s="154" t="s">
        <v>727</v>
      </c>
      <c r="I179" s="378"/>
      <c r="J179" s="517"/>
      <c r="K179" s="456"/>
      <c r="L179" s="457"/>
      <c r="M179" s="457"/>
      <c r="N179" s="383"/>
      <c r="O179" s="391"/>
    </row>
    <row r="180" spans="2:15" ht="33">
      <c r="B180" s="461"/>
      <c r="C180" s="514"/>
      <c r="D180" s="399"/>
      <c r="E180" s="381"/>
      <c r="F180" s="405"/>
      <c r="G180" s="125">
        <v>4</v>
      </c>
      <c r="H180" s="154" t="s">
        <v>206</v>
      </c>
      <c r="I180" s="378"/>
      <c r="J180" s="517"/>
      <c r="K180" s="456"/>
      <c r="L180" s="457"/>
      <c r="M180" s="457"/>
      <c r="N180" s="383"/>
      <c r="O180" s="391"/>
    </row>
    <row r="181" spans="2:15" ht="21" customHeight="1">
      <c r="B181" s="461"/>
      <c r="C181" s="514"/>
      <c r="D181" s="399"/>
      <c r="E181" s="381"/>
      <c r="F181" s="405"/>
      <c r="G181" s="125">
        <v>5</v>
      </c>
      <c r="H181" s="154"/>
      <c r="I181" s="378"/>
      <c r="J181" s="517"/>
      <c r="K181" s="456"/>
      <c r="L181" s="457"/>
      <c r="M181" s="457"/>
      <c r="N181" s="383"/>
      <c r="O181" s="391"/>
    </row>
    <row r="182" spans="2:15" ht="21" customHeight="1">
      <c r="B182" s="461"/>
      <c r="C182" s="514"/>
      <c r="D182" s="399"/>
      <c r="E182" s="381"/>
      <c r="F182" s="405"/>
      <c r="G182" s="125">
        <v>6</v>
      </c>
      <c r="H182" s="154"/>
      <c r="I182" s="378"/>
      <c r="J182" s="517"/>
      <c r="K182" s="456"/>
      <c r="L182" s="457"/>
      <c r="M182" s="457"/>
      <c r="N182" s="383"/>
      <c r="O182" s="391"/>
    </row>
    <row r="183" spans="2:15" ht="21" customHeight="1">
      <c r="B183" s="461"/>
      <c r="C183" s="514"/>
      <c r="D183" s="399"/>
      <c r="E183" s="381"/>
      <c r="F183" s="405"/>
      <c r="G183" s="125">
        <v>7</v>
      </c>
      <c r="H183" s="154"/>
      <c r="I183" s="378"/>
      <c r="J183" s="517"/>
      <c r="K183" s="456"/>
      <c r="L183" s="457"/>
      <c r="M183" s="457"/>
      <c r="N183" s="383"/>
      <c r="O183" s="391"/>
    </row>
    <row r="184" spans="2:15" ht="21" customHeight="1" thickBot="1">
      <c r="B184" s="462"/>
      <c r="C184" s="515"/>
      <c r="D184" s="400"/>
      <c r="E184" s="382"/>
      <c r="F184" s="406"/>
      <c r="G184" s="126">
        <v>8</v>
      </c>
      <c r="H184" s="155"/>
      <c r="I184" s="379"/>
      <c r="J184" s="518"/>
      <c r="K184" s="456"/>
      <c r="L184" s="457"/>
      <c r="M184" s="457"/>
      <c r="N184" s="383"/>
      <c r="O184" s="391"/>
    </row>
    <row r="185" spans="2:15" ht="34.5" customHeight="1">
      <c r="B185" s="463"/>
      <c r="C185" s="440" t="s">
        <v>207</v>
      </c>
      <c r="D185" s="442" t="s">
        <v>8</v>
      </c>
      <c r="E185" s="519" t="s">
        <v>147</v>
      </c>
      <c r="F185" s="445" t="s">
        <v>148</v>
      </c>
      <c r="G185" s="508" t="s">
        <v>115</v>
      </c>
      <c r="H185" s="509"/>
      <c r="I185" s="510"/>
      <c r="J185" s="445" t="s">
        <v>149</v>
      </c>
      <c r="K185" s="485" t="s">
        <v>150</v>
      </c>
      <c r="L185" s="458"/>
      <c r="M185" s="458"/>
      <c r="N185" s="389"/>
      <c r="O185" s="393"/>
    </row>
    <row r="186" spans="2:15" ht="57" customHeight="1">
      <c r="B186" s="464"/>
      <c r="C186" s="441"/>
      <c r="D186" s="443"/>
      <c r="E186" s="520"/>
      <c r="F186" s="445"/>
      <c r="G186" s="449" t="s">
        <v>13</v>
      </c>
      <c r="H186" s="521" t="s">
        <v>151</v>
      </c>
      <c r="I186" s="511" t="s">
        <v>152</v>
      </c>
      <c r="J186" s="445"/>
      <c r="K186" s="485"/>
      <c r="L186" s="458"/>
      <c r="M186" s="458"/>
      <c r="N186" s="389"/>
      <c r="O186" s="393"/>
    </row>
    <row r="187" spans="2:15" ht="24" customHeight="1" thickBot="1">
      <c r="B187" s="464"/>
      <c r="C187" s="441"/>
      <c r="D187" s="444"/>
      <c r="E187" s="512"/>
      <c r="F187" s="446"/>
      <c r="G187" s="450"/>
      <c r="H187" s="522"/>
      <c r="I187" s="512"/>
      <c r="J187" s="446"/>
      <c r="K187" s="486"/>
      <c r="L187" s="458"/>
      <c r="M187" s="458"/>
      <c r="N187" s="389"/>
      <c r="O187" s="393"/>
    </row>
    <row r="188" spans="2:15" ht="82.5">
      <c r="B188" s="460" t="str">
        <f>+LEFT(C188,3)</f>
        <v>5.1</v>
      </c>
      <c r="C188" s="395" t="s">
        <v>208</v>
      </c>
      <c r="D188" s="398" t="s">
        <v>209</v>
      </c>
      <c r="E188" s="384" t="s">
        <v>210</v>
      </c>
      <c r="F188" s="425">
        <v>3</v>
      </c>
      <c r="G188" s="127">
        <v>1</v>
      </c>
      <c r="H188" s="153" t="s">
        <v>211</v>
      </c>
      <c r="I188" s="377" t="s">
        <v>728</v>
      </c>
      <c r="J188" s="431">
        <v>3</v>
      </c>
      <c r="K188" s="456" t="str">
        <f>+IF(OR(ISBLANK(F188),ISBLANK(J188)),"",IF(OR(AND(F188=1,J188=1),AND(F188=1,J188=2),AND(F188=1,J188=3)),"Deficiencia de control mayor (diseño y ejecución)",IF(OR(AND(F188=2,J188=2),AND(F188=3,J188=1),AND(F188=3,J188=2),AND(F188=2,J188=1)),"Deficiencia de control (diseño o ejecución)",IF(AND(F188=2,J188=3),"Oportunidad de mejora","Mantenimiento del control"))))</f>
        <v>Mantenimiento del control</v>
      </c>
      <c r="L188" s="457">
        <f>+IF(K188="",0,IF(K188="Deficiencia de control mayor (diseño y ejecución)",4,IF(K188="Deficiencia de control (diseño o ejecución)",20,IF(K188="Oportunidad de mejora",40,60))))</f>
        <v>60</v>
      </c>
      <c r="M188" s="457">
        <v>1.1896</v>
      </c>
      <c r="N188" s="383">
        <f>+L188+M188</f>
        <v>61.189599999999999</v>
      </c>
      <c r="O188" s="391"/>
    </row>
    <row r="189" spans="2:15" ht="33">
      <c r="B189" s="461"/>
      <c r="C189" s="396"/>
      <c r="D189" s="399"/>
      <c r="E189" s="385"/>
      <c r="F189" s="426"/>
      <c r="G189" s="125">
        <v>2</v>
      </c>
      <c r="H189" s="154" t="s">
        <v>212</v>
      </c>
      <c r="I189" s="378"/>
      <c r="J189" s="432"/>
      <c r="K189" s="456"/>
      <c r="L189" s="457"/>
      <c r="M189" s="457"/>
      <c r="N189" s="383"/>
      <c r="O189" s="391"/>
    </row>
    <row r="190" spans="2:15" ht="49.5">
      <c r="B190" s="461"/>
      <c r="C190" s="396"/>
      <c r="D190" s="399"/>
      <c r="E190" s="385"/>
      <c r="F190" s="426"/>
      <c r="G190" s="125">
        <v>3</v>
      </c>
      <c r="H190" s="204" t="s">
        <v>213</v>
      </c>
      <c r="I190" s="378"/>
      <c r="J190" s="432"/>
      <c r="K190" s="456"/>
      <c r="L190" s="457"/>
      <c r="M190" s="457"/>
      <c r="N190" s="383"/>
      <c r="O190" s="391"/>
    </row>
    <row r="191" spans="2:15" ht="16.5">
      <c r="B191" s="461"/>
      <c r="C191" s="396"/>
      <c r="D191" s="399"/>
      <c r="E191" s="385"/>
      <c r="F191" s="426"/>
      <c r="G191" s="125">
        <v>4</v>
      </c>
      <c r="H191" s="154"/>
      <c r="I191" s="378"/>
      <c r="J191" s="432"/>
      <c r="K191" s="456"/>
      <c r="L191" s="457"/>
      <c r="M191" s="457"/>
      <c r="N191" s="383"/>
      <c r="O191" s="391"/>
    </row>
    <row r="192" spans="2:15" ht="16.5">
      <c r="B192" s="461"/>
      <c r="C192" s="396"/>
      <c r="D192" s="399"/>
      <c r="E192" s="385"/>
      <c r="F192" s="426"/>
      <c r="G192" s="125">
        <v>5</v>
      </c>
      <c r="H192" s="154"/>
      <c r="I192" s="378"/>
      <c r="J192" s="432"/>
      <c r="K192" s="456"/>
      <c r="L192" s="457"/>
      <c r="M192" s="457"/>
      <c r="N192" s="383"/>
      <c r="O192" s="391"/>
    </row>
    <row r="193" spans="2:15" ht="16.5">
      <c r="B193" s="461"/>
      <c r="C193" s="396"/>
      <c r="D193" s="399"/>
      <c r="E193" s="385"/>
      <c r="F193" s="426"/>
      <c r="G193" s="125">
        <v>6</v>
      </c>
      <c r="H193" s="154"/>
      <c r="I193" s="378"/>
      <c r="J193" s="432"/>
      <c r="K193" s="456"/>
      <c r="L193" s="457"/>
      <c r="M193" s="457"/>
      <c r="N193" s="383"/>
      <c r="O193" s="391"/>
    </row>
    <row r="194" spans="2:15" ht="16.5">
      <c r="B194" s="461"/>
      <c r="C194" s="396"/>
      <c r="D194" s="399"/>
      <c r="E194" s="385"/>
      <c r="F194" s="426"/>
      <c r="G194" s="125">
        <v>7</v>
      </c>
      <c r="H194" s="154"/>
      <c r="I194" s="378"/>
      <c r="J194" s="432"/>
      <c r="K194" s="456"/>
      <c r="L194" s="457"/>
      <c r="M194" s="457"/>
      <c r="N194" s="383"/>
      <c r="O194" s="391"/>
    </row>
    <row r="195" spans="2:15" ht="17.25" thickBot="1">
      <c r="B195" s="462"/>
      <c r="C195" s="397"/>
      <c r="D195" s="400"/>
      <c r="E195" s="386"/>
      <c r="F195" s="427"/>
      <c r="G195" s="126">
        <v>8</v>
      </c>
      <c r="H195" s="155"/>
      <c r="I195" s="379"/>
      <c r="J195" s="433"/>
      <c r="K195" s="456"/>
      <c r="L195" s="457"/>
      <c r="M195" s="457"/>
      <c r="N195" s="383"/>
      <c r="O195" s="391"/>
    </row>
    <row r="196" spans="2:15" ht="35.25" customHeight="1">
      <c r="B196" s="460" t="str">
        <f>+LEFT(C196,3)</f>
        <v>5.2</v>
      </c>
      <c r="C196" s="416" t="s">
        <v>214</v>
      </c>
      <c r="D196" s="398" t="s">
        <v>215</v>
      </c>
      <c r="E196" s="377" t="s">
        <v>216</v>
      </c>
      <c r="F196" s="431">
        <v>3</v>
      </c>
      <c r="G196" s="127">
        <v>1</v>
      </c>
      <c r="H196" s="156" t="s">
        <v>217</v>
      </c>
      <c r="I196" s="377" t="s">
        <v>729</v>
      </c>
      <c r="J196" s="431">
        <v>3</v>
      </c>
      <c r="K196" s="456" t="str">
        <f>+IF(OR(ISBLANK(F196),ISBLANK(J196)),"",IF(OR(AND(F196=1,J196=1),AND(F196=1,J196=2),AND(F196=1,J196=3)),"Deficiencia de control mayor (diseño y ejecución)",IF(OR(AND(F196=2,J196=2),AND(F196=3,J196=1),AND(F196=3,J196=2),AND(F196=2,J196=1)),"Deficiencia de control (diseño o ejecución)",IF(AND(F196=2,J196=3),"Oportunidad de mejora","Mantenimiento del control"))))</f>
        <v>Mantenimiento del control</v>
      </c>
      <c r="L196" s="457">
        <f>+IF(K196="",0,IF(K196="Deficiencia de control mayor (diseño y ejecución)",4,IF(K196="Deficiencia de control (diseño o ejecución)",20,IF(K196="Oportunidad de mejora",40,60))))</f>
        <v>60</v>
      </c>
      <c r="M196" s="457">
        <v>1.28965</v>
      </c>
      <c r="N196" s="383">
        <f>+L196+M196</f>
        <v>61.289650000000002</v>
      </c>
      <c r="O196" s="391"/>
    </row>
    <row r="197" spans="2:15" ht="35.25" customHeight="1">
      <c r="B197" s="461"/>
      <c r="C197" s="417"/>
      <c r="D197" s="399"/>
      <c r="E197" s="378"/>
      <c r="F197" s="432"/>
      <c r="G197" s="125">
        <v>2</v>
      </c>
      <c r="H197" s="154" t="s">
        <v>218</v>
      </c>
      <c r="I197" s="378"/>
      <c r="J197" s="432"/>
      <c r="K197" s="456"/>
      <c r="L197" s="457"/>
      <c r="M197" s="457"/>
      <c r="N197" s="383"/>
      <c r="O197" s="391"/>
    </row>
    <row r="198" spans="2:15" ht="35.25" customHeight="1">
      <c r="B198" s="461"/>
      <c r="C198" s="417"/>
      <c r="D198" s="399"/>
      <c r="E198" s="378"/>
      <c r="F198" s="432"/>
      <c r="G198" s="125">
        <v>3</v>
      </c>
      <c r="H198" s="154" t="s">
        <v>219</v>
      </c>
      <c r="I198" s="378"/>
      <c r="J198" s="432"/>
      <c r="K198" s="456"/>
      <c r="L198" s="457"/>
      <c r="M198" s="457"/>
      <c r="N198" s="383"/>
      <c r="O198" s="391"/>
    </row>
    <row r="199" spans="2:15" ht="35.25" customHeight="1">
      <c r="B199" s="461"/>
      <c r="C199" s="417"/>
      <c r="D199" s="399"/>
      <c r="E199" s="378"/>
      <c r="F199" s="432"/>
      <c r="G199" s="125">
        <v>4</v>
      </c>
      <c r="H199" s="154" t="s">
        <v>220</v>
      </c>
      <c r="I199" s="378"/>
      <c r="J199" s="432"/>
      <c r="K199" s="456"/>
      <c r="L199" s="457"/>
      <c r="M199" s="457"/>
      <c r="N199" s="383"/>
      <c r="O199" s="391"/>
    </row>
    <row r="200" spans="2:15" ht="35.25" customHeight="1">
      <c r="B200" s="461"/>
      <c r="C200" s="417"/>
      <c r="D200" s="399"/>
      <c r="E200" s="378"/>
      <c r="F200" s="432"/>
      <c r="G200" s="125">
        <v>5</v>
      </c>
      <c r="H200" s="154" t="s">
        <v>221</v>
      </c>
      <c r="I200" s="378"/>
      <c r="J200" s="432"/>
      <c r="K200" s="456"/>
      <c r="L200" s="457"/>
      <c r="M200" s="457"/>
      <c r="N200" s="383"/>
      <c r="O200" s="391"/>
    </row>
    <row r="201" spans="2:15" ht="35.25" customHeight="1">
      <c r="B201" s="461"/>
      <c r="C201" s="417"/>
      <c r="D201" s="399"/>
      <c r="E201" s="378"/>
      <c r="F201" s="432"/>
      <c r="G201" s="125">
        <v>6</v>
      </c>
      <c r="H201" s="154" t="s">
        <v>222</v>
      </c>
      <c r="I201" s="378"/>
      <c r="J201" s="432"/>
      <c r="K201" s="456"/>
      <c r="L201" s="457"/>
      <c r="M201" s="457"/>
      <c r="N201" s="383"/>
      <c r="O201" s="391"/>
    </row>
    <row r="202" spans="2:15" ht="35.25" customHeight="1">
      <c r="B202" s="461"/>
      <c r="C202" s="417"/>
      <c r="D202" s="399"/>
      <c r="E202" s="378"/>
      <c r="F202" s="432"/>
      <c r="G202" s="125">
        <v>7</v>
      </c>
      <c r="H202" s="154" t="s">
        <v>223</v>
      </c>
      <c r="I202" s="378"/>
      <c r="J202" s="432"/>
      <c r="K202" s="456"/>
      <c r="L202" s="457"/>
      <c r="M202" s="457"/>
      <c r="N202" s="383"/>
      <c r="O202" s="391"/>
    </row>
    <row r="203" spans="2:15" ht="35.25" customHeight="1" thickBot="1">
      <c r="B203" s="462"/>
      <c r="C203" s="418"/>
      <c r="D203" s="400"/>
      <c r="E203" s="379"/>
      <c r="F203" s="433"/>
      <c r="G203" s="126">
        <v>8</v>
      </c>
      <c r="H203" s="155" t="s">
        <v>224</v>
      </c>
      <c r="I203" s="379"/>
      <c r="J203" s="433"/>
      <c r="K203" s="456"/>
      <c r="L203" s="457"/>
      <c r="M203" s="457"/>
      <c r="N203" s="383"/>
      <c r="O203" s="391"/>
    </row>
    <row r="204" spans="2:15" ht="33">
      <c r="B204" s="460" t="str">
        <f>+LEFT(C204,3)</f>
        <v>5.3</v>
      </c>
      <c r="C204" s="416" t="s">
        <v>225</v>
      </c>
      <c r="D204" s="419" t="s">
        <v>226</v>
      </c>
      <c r="E204" s="377" t="s">
        <v>227</v>
      </c>
      <c r="F204" s="431">
        <v>3</v>
      </c>
      <c r="G204" s="127">
        <v>1</v>
      </c>
      <c r="H204" s="156" t="s">
        <v>181</v>
      </c>
      <c r="I204" s="377" t="s">
        <v>845</v>
      </c>
      <c r="J204" s="431">
        <v>3</v>
      </c>
      <c r="K204" s="456" t="str">
        <f>+IF(OR(ISBLANK(F204),ISBLANK(J204)),"",IF(OR(AND(F204=1,J204=1),AND(F204=1,J204=2),AND(F204=1,J204=3)),"Deficiencia de control mayor (diseño y ejecución)",IF(OR(AND(F204=2,J204=2),AND(F204=3,J204=1),AND(F204=3,J204=2),AND(F204=2,J204=1)),"Deficiencia de control (diseño o ejecución)",IF(AND(F204=2,J204=3),"Oportunidad de mejora","Mantenimiento del control"))))</f>
        <v>Mantenimiento del control</v>
      </c>
      <c r="L204" s="457">
        <f>+IF(K204="",0,IF(K204="Deficiencia de control mayor (diseño y ejecución)",4,IF(K204="Deficiencia de control (diseño o ejecución)",20,IF(K204="Oportunidad de mejora",40,60))))</f>
        <v>60</v>
      </c>
      <c r="M204" s="457">
        <v>1.3896299999999999</v>
      </c>
      <c r="N204" s="383">
        <f>+L204+M204</f>
        <v>61.389629999999997</v>
      </c>
      <c r="O204" s="391"/>
    </row>
    <row r="205" spans="2:15" ht="33">
      <c r="B205" s="461"/>
      <c r="C205" s="417"/>
      <c r="D205" s="420"/>
      <c r="E205" s="378"/>
      <c r="F205" s="432"/>
      <c r="G205" s="125">
        <v>2</v>
      </c>
      <c r="H205" s="154" t="s">
        <v>228</v>
      </c>
      <c r="I205" s="378"/>
      <c r="J205" s="432"/>
      <c r="K205" s="456"/>
      <c r="L205" s="457"/>
      <c r="M205" s="457"/>
      <c r="N205" s="383"/>
      <c r="O205" s="391"/>
    </row>
    <row r="206" spans="2:15" ht="33">
      <c r="B206" s="461"/>
      <c r="C206" s="417"/>
      <c r="D206" s="420"/>
      <c r="E206" s="378"/>
      <c r="F206" s="432"/>
      <c r="G206" s="125">
        <v>3</v>
      </c>
      <c r="H206" s="154" t="s">
        <v>229</v>
      </c>
      <c r="I206" s="378"/>
      <c r="J206" s="432"/>
      <c r="K206" s="456"/>
      <c r="L206" s="457"/>
      <c r="M206" s="457"/>
      <c r="N206" s="383"/>
      <c r="O206" s="391"/>
    </row>
    <row r="207" spans="2:15" ht="33">
      <c r="B207" s="461"/>
      <c r="C207" s="417"/>
      <c r="D207" s="420"/>
      <c r="E207" s="378"/>
      <c r="F207" s="432"/>
      <c r="G207" s="125">
        <v>4</v>
      </c>
      <c r="H207" s="154" t="s">
        <v>230</v>
      </c>
      <c r="I207" s="378"/>
      <c r="J207" s="432"/>
      <c r="K207" s="456"/>
      <c r="L207" s="457"/>
      <c r="M207" s="457"/>
      <c r="N207" s="383"/>
      <c r="O207" s="391"/>
    </row>
    <row r="208" spans="2:15" ht="16.5">
      <c r="B208" s="461"/>
      <c r="C208" s="417"/>
      <c r="D208" s="420"/>
      <c r="E208" s="378"/>
      <c r="F208" s="432"/>
      <c r="G208" s="125">
        <v>5</v>
      </c>
      <c r="H208" s="154"/>
      <c r="I208" s="378"/>
      <c r="J208" s="432"/>
      <c r="K208" s="456"/>
      <c r="L208" s="457"/>
      <c r="M208" s="457"/>
      <c r="N208" s="383"/>
      <c r="O208" s="391"/>
    </row>
    <row r="209" spans="2:15" ht="16.5">
      <c r="B209" s="461"/>
      <c r="C209" s="417"/>
      <c r="D209" s="420"/>
      <c r="E209" s="378"/>
      <c r="F209" s="432"/>
      <c r="G209" s="125">
        <v>6</v>
      </c>
      <c r="H209" s="154"/>
      <c r="I209" s="378"/>
      <c r="J209" s="432"/>
      <c r="K209" s="456"/>
      <c r="L209" s="457"/>
      <c r="M209" s="457"/>
      <c r="N209" s="383"/>
      <c r="O209" s="391"/>
    </row>
    <row r="210" spans="2:15" ht="16.5">
      <c r="B210" s="461"/>
      <c r="C210" s="417"/>
      <c r="D210" s="420"/>
      <c r="E210" s="378"/>
      <c r="F210" s="432"/>
      <c r="G210" s="125">
        <v>7</v>
      </c>
      <c r="H210" s="154"/>
      <c r="I210" s="378"/>
      <c r="J210" s="432"/>
      <c r="K210" s="456"/>
      <c r="L210" s="457"/>
      <c r="M210" s="457"/>
      <c r="N210" s="383"/>
      <c r="O210" s="391"/>
    </row>
    <row r="211" spans="2:15" ht="17.25" thickBot="1">
      <c r="B211" s="462"/>
      <c r="C211" s="418"/>
      <c r="D211" s="421"/>
      <c r="E211" s="379"/>
      <c r="F211" s="433"/>
      <c r="G211" s="126">
        <v>8</v>
      </c>
      <c r="H211" s="155"/>
      <c r="I211" s="379"/>
      <c r="J211" s="433"/>
      <c r="K211" s="456"/>
      <c r="L211" s="457"/>
      <c r="M211" s="457"/>
      <c r="N211" s="383"/>
      <c r="O211" s="391"/>
    </row>
    <row r="212" spans="2:15" ht="34.5" customHeight="1">
      <c r="B212" s="460" t="str">
        <f>+LEFT(C212,3)</f>
        <v>5.4</v>
      </c>
      <c r="C212" s="416" t="s">
        <v>231</v>
      </c>
      <c r="D212" s="419" t="s">
        <v>232</v>
      </c>
      <c r="E212" s="380" t="s">
        <v>731</v>
      </c>
      <c r="F212" s="425">
        <v>3</v>
      </c>
      <c r="G212" s="127">
        <v>1</v>
      </c>
      <c r="H212" s="156" t="s">
        <v>233</v>
      </c>
      <c r="I212" s="377" t="s">
        <v>715</v>
      </c>
      <c r="J212" s="431">
        <v>3</v>
      </c>
      <c r="K212" s="456" t="str">
        <f>+IF(OR(ISBLANK(F212),ISBLANK(J212)),"",IF(OR(AND(F212=1,J212=1),AND(F212=1,J212=2),AND(F212=1,J212=3)),"Deficiencia de control mayor (diseño y ejecución)",IF(OR(AND(F212=2,J212=2),AND(F212=3,J212=1),AND(F212=3,J212=2),AND(F212=2,J212=1)),"Deficiencia de control (diseño o ejecución)",IF(AND(F212=2,J212=3),"Oportunidad de mejora","Mantenimiento del control"))))</f>
        <v>Mantenimiento del control</v>
      </c>
      <c r="L212" s="457">
        <f>+IF(K212="",0,IF(K212="Deficiencia de control mayor (diseño y ejecución)",4,IF(K212="Deficiencia de control (diseño o ejecución)",20,IF(K212="Oportunidad de mejora",40,60))))</f>
        <v>60</v>
      </c>
      <c r="M212" s="457">
        <v>1.48963</v>
      </c>
      <c r="N212" s="383">
        <f>+L212+M212</f>
        <v>61.489629999999998</v>
      </c>
      <c r="O212" s="391"/>
    </row>
    <row r="213" spans="2:15" ht="51.75" customHeight="1">
      <c r="B213" s="461"/>
      <c r="C213" s="417"/>
      <c r="D213" s="420"/>
      <c r="E213" s="381"/>
      <c r="F213" s="426"/>
      <c r="G213" s="125">
        <v>2</v>
      </c>
      <c r="H213" s="154" t="s">
        <v>730</v>
      </c>
      <c r="I213" s="378"/>
      <c r="J213" s="432"/>
      <c r="K213" s="456"/>
      <c r="L213" s="457"/>
      <c r="M213" s="457"/>
      <c r="N213" s="383"/>
      <c r="O213" s="391"/>
    </row>
    <row r="214" spans="2:15" ht="20.25" customHeight="1">
      <c r="B214" s="461"/>
      <c r="C214" s="417"/>
      <c r="D214" s="420"/>
      <c r="E214" s="381"/>
      <c r="F214" s="426"/>
      <c r="G214" s="125">
        <v>3</v>
      </c>
      <c r="H214" s="154"/>
      <c r="I214" s="378"/>
      <c r="J214" s="432"/>
      <c r="K214" s="456"/>
      <c r="L214" s="457"/>
      <c r="M214" s="457"/>
      <c r="N214" s="383"/>
      <c r="O214" s="391"/>
    </row>
    <row r="215" spans="2:15" ht="20.25" customHeight="1">
      <c r="B215" s="461"/>
      <c r="C215" s="417"/>
      <c r="D215" s="420"/>
      <c r="E215" s="381"/>
      <c r="F215" s="426"/>
      <c r="G215" s="125">
        <v>4</v>
      </c>
      <c r="H215" s="154"/>
      <c r="I215" s="378"/>
      <c r="J215" s="432"/>
      <c r="K215" s="456"/>
      <c r="L215" s="457"/>
      <c r="M215" s="457"/>
      <c r="N215" s="383"/>
      <c r="O215" s="391"/>
    </row>
    <row r="216" spans="2:15" ht="20.25" customHeight="1">
      <c r="B216" s="461"/>
      <c r="C216" s="417"/>
      <c r="D216" s="420"/>
      <c r="E216" s="381"/>
      <c r="F216" s="426"/>
      <c r="G216" s="125">
        <v>5</v>
      </c>
      <c r="H216" s="154"/>
      <c r="I216" s="378"/>
      <c r="J216" s="432"/>
      <c r="K216" s="456"/>
      <c r="L216" s="457"/>
      <c r="M216" s="457"/>
      <c r="N216" s="383"/>
      <c r="O216" s="391"/>
    </row>
    <row r="217" spans="2:15" ht="20.25" customHeight="1">
      <c r="B217" s="461"/>
      <c r="C217" s="417"/>
      <c r="D217" s="420"/>
      <c r="E217" s="381"/>
      <c r="F217" s="426"/>
      <c r="G217" s="125">
        <v>6</v>
      </c>
      <c r="H217" s="154"/>
      <c r="I217" s="378"/>
      <c r="J217" s="432"/>
      <c r="K217" s="456"/>
      <c r="L217" s="457"/>
      <c r="M217" s="457"/>
      <c r="N217" s="383"/>
      <c r="O217" s="391"/>
    </row>
    <row r="218" spans="2:15" ht="20.25" customHeight="1">
      <c r="B218" s="461"/>
      <c r="C218" s="417"/>
      <c r="D218" s="420"/>
      <c r="E218" s="381"/>
      <c r="F218" s="426"/>
      <c r="G218" s="125">
        <v>7</v>
      </c>
      <c r="H218" s="154"/>
      <c r="I218" s="378"/>
      <c r="J218" s="432"/>
      <c r="K218" s="456"/>
      <c r="L218" s="457"/>
      <c r="M218" s="457"/>
      <c r="N218" s="383"/>
      <c r="O218" s="391"/>
    </row>
    <row r="219" spans="2:15" ht="20.25" customHeight="1" thickBot="1">
      <c r="B219" s="462"/>
      <c r="C219" s="418"/>
      <c r="D219" s="421"/>
      <c r="E219" s="382"/>
      <c r="F219" s="427"/>
      <c r="G219" s="126">
        <v>8</v>
      </c>
      <c r="H219" s="155"/>
      <c r="I219" s="379"/>
      <c r="J219" s="433"/>
      <c r="K219" s="456"/>
      <c r="L219" s="457"/>
      <c r="M219" s="457"/>
      <c r="N219" s="383"/>
      <c r="O219" s="391"/>
    </row>
    <row r="220" spans="2:15" ht="33">
      <c r="B220" s="460" t="str">
        <f>+LEFT(C220,3)</f>
        <v>5.5</v>
      </c>
      <c r="C220" s="416" t="s">
        <v>234</v>
      </c>
      <c r="D220" s="398" t="s">
        <v>235</v>
      </c>
      <c r="E220" s="377" t="s">
        <v>236</v>
      </c>
      <c r="F220" s="431">
        <v>3</v>
      </c>
      <c r="G220" s="127">
        <v>1</v>
      </c>
      <c r="H220" s="156" t="s">
        <v>237</v>
      </c>
      <c r="I220" s="377" t="s">
        <v>875</v>
      </c>
      <c r="J220" s="431">
        <v>3</v>
      </c>
      <c r="K220" s="456" t="str">
        <f>+IF(OR(ISBLANK(F220),ISBLANK(J220)),"",IF(OR(AND(F220=1,J220=1),AND(F220=1,J220=2),AND(F220=1,J220=3)),"Deficiencia de control mayor (diseño y ejecución)",IF(OR(AND(F220=2,J220=2),AND(F220=3,J220=1),AND(F220=3,J220=2),AND(F220=2,J220=1)),"Deficiencia de control (diseño o ejecución)",IF(AND(F220=2,J220=3),"Oportunidad de mejora","Mantenimiento del control"))))</f>
        <v>Mantenimiento del control</v>
      </c>
      <c r="L220" s="457">
        <f>+IF(K220="",0,IF(K220="Deficiencia de control mayor (diseño y ejecución)",4,IF(K220="Deficiencia de control (diseño o ejecución)",20,IF(K220="Oportunidad de mejora",40,60))))</f>
        <v>60</v>
      </c>
      <c r="M220" s="457">
        <v>1.58965</v>
      </c>
      <c r="N220" s="383">
        <f>+L220+M220</f>
        <v>61.589649999999999</v>
      </c>
      <c r="O220" s="391"/>
    </row>
    <row r="221" spans="2:15" ht="27.75" customHeight="1">
      <c r="B221" s="461"/>
      <c r="C221" s="417"/>
      <c r="D221" s="399"/>
      <c r="E221" s="378"/>
      <c r="F221" s="432"/>
      <c r="G221" s="125">
        <v>2</v>
      </c>
      <c r="H221" s="154" t="s">
        <v>238</v>
      </c>
      <c r="I221" s="378"/>
      <c r="J221" s="432"/>
      <c r="K221" s="456"/>
      <c r="L221" s="457"/>
      <c r="M221" s="457"/>
      <c r="N221" s="383"/>
      <c r="O221" s="391"/>
    </row>
    <row r="222" spans="2:15" ht="66">
      <c r="B222" s="461"/>
      <c r="C222" s="417"/>
      <c r="D222" s="399"/>
      <c r="E222" s="378"/>
      <c r="F222" s="432"/>
      <c r="G222" s="125">
        <v>3</v>
      </c>
      <c r="H222" s="154" t="s">
        <v>239</v>
      </c>
      <c r="I222" s="378"/>
      <c r="J222" s="432"/>
      <c r="K222" s="456"/>
      <c r="L222" s="457"/>
      <c r="M222" s="457"/>
      <c r="N222" s="383"/>
      <c r="O222" s="391"/>
    </row>
    <row r="223" spans="2:15" ht="20.25" customHeight="1">
      <c r="B223" s="461"/>
      <c r="C223" s="417"/>
      <c r="D223" s="399"/>
      <c r="E223" s="378"/>
      <c r="F223" s="432"/>
      <c r="G223" s="125">
        <v>4</v>
      </c>
      <c r="H223" s="154"/>
      <c r="I223" s="378"/>
      <c r="J223" s="432"/>
      <c r="K223" s="456"/>
      <c r="L223" s="457"/>
      <c r="M223" s="457"/>
      <c r="N223" s="383"/>
      <c r="O223" s="391"/>
    </row>
    <row r="224" spans="2:15" ht="20.25" customHeight="1">
      <c r="B224" s="461"/>
      <c r="C224" s="417"/>
      <c r="D224" s="399"/>
      <c r="E224" s="378"/>
      <c r="F224" s="432"/>
      <c r="G224" s="125">
        <v>5</v>
      </c>
      <c r="H224" s="154"/>
      <c r="I224" s="378"/>
      <c r="J224" s="432"/>
      <c r="K224" s="456"/>
      <c r="L224" s="457"/>
      <c r="M224" s="457"/>
      <c r="N224" s="383"/>
      <c r="O224" s="391"/>
    </row>
    <row r="225" spans="2:15" ht="20.25" customHeight="1">
      <c r="B225" s="461"/>
      <c r="C225" s="417"/>
      <c r="D225" s="399"/>
      <c r="E225" s="378"/>
      <c r="F225" s="432"/>
      <c r="G225" s="125">
        <v>6</v>
      </c>
      <c r="H225" s="154"/>
      <c r="I225" s="378"/>
      <c r="J225" s="432"/>
      <c r="K225" s="456"/>
      <c r="L225" s="457"/>
      <c r="M225" s="457"/>
      <c r="N225" s="383"/>
      <c r="O225" s="391"/>
    </row>
    <row r="226" spans="2:15" ht="20.25" customHeight="1">
      <c r="B226" s="461"/>
      <c r="C226" s="417"/>
      <c r="D226" s="399"/>
      <c r="E226" s="378"/>
      <c r="F226" s="432"/>
      <c r="G226" s="125">
        <v>7</v>
      </c>
      <c r="H226" s="154"/>
      <c r="I226" s="378"/>
      <c r="J226" s="432"/>
      <c r="K226" s="456"/>
      <c r="L226" s="457"/>
      <c r="M226" s="457"/>
      <c r="N226" s="383"/>
      <c r="O226" s="391"/>
    </row>
    <row r="227" spans="2:15" ht="20.25" customHeight="1" thickBot="1">
      <c r="B227" s="462"/>
      <c r="C227" s="418"/>
      <c r="D227" s="400"/>
      <c r="E227" s="379"/>
      <c r="F227" s="433"/>
      <c r="G227" s="126">
        <v>8</v>
      </c>
      <c r="H227" s="155"/>
      <c r="I227" s="379"/>
      <c r="J227" s="433"/>
      <c r="K227" s="456"/>
      <c r="L227" s="457"/>
      <c r="M227" s="457"/>
      <c r="N227" s="383"/>
      <c r="O227" s="391"/>
    </row>
    <row r="228" spans="2:15" ht="33" customHeight="1">
      <c r="B228" s="460" t="str">
        <f>+LEFT(C228,3)</f>
        <v>5.6</v>
      </c>
      <c r="C228" s="395" t="s">
        <v>240</v>
      </c>
      <c r="D228" s="398" t="s">
        <v>235</v>
      </c>
      <c r="E228" s="384" t="s">
        <v>732</v>
      </c>
      <c r="F228" s="425">
        <v>3</v>
      </c>
      <c r="G228" s="127">
        <v>1</v>
      </c>
      <c r="H228" s="156" t="s">
        <v>241</v>
      </c>
      <c r="I228" s="377" t="s">
        <v>846</v>
      </c>
      <c r="J228" s="431">
        <v>3</v>
      </c>
      <c r="K228" s="456" t="str">
        <f>+IF(OR(ISBLANK(F228),ISBLANK(J228)),"",IF(OR(AND(F228=1,J228=1),AND(F228=1,J228=2),AND(F228=1,J228=3)),"Deficiencia de control mayor (diseño y ejecución)",IF(OR(AND(F228=2,J228=2),AND(F228=3,J228=1),AND(F228=3,J228=2),AND(F228=2,J228=1)),"Deficiencia de control (diseño o ejecución)",IF(AND(F228=2,J228=3),"Oportunidad de mejora","Mantenimiento del control"))))</f>
        <v>Mantenimiento del control</v>
      </c>
      <c r="L228" s="457">
        <f>+IF(K228="",0,IF(K228="Deficiencia de control mayor (diseño y ejecución)",4,IF(K228="Deficiencia de control (diseño o ejecución)",20,IF(K228="Oportunidad de mejora",40,60))))</f>
        <v>60</v>
      </c>
      <c r="M228" s="457">
        <v>1.6896530000000001</v>
      </c>
      <c r="N228" s="383">
        <f>+L228+M228</f>
        <v>61.689653</v>
      </c>
      <c r="O228" s="391"/>
    </row>
    <row r="229" spans="2:15" ht="49.5">
      <c r="B229" s="461"/>
      <c r="C229" s="396"/>
      <c r="D229" s="399"/>
      <c r="E229" s="385"/>
      <c r="F229" s="426"/>
      <c r="G229" s="125">
        <v>2</v>
      </c>
      <c r="H229" s="154" t="s">
        <v>242</v>
      </c>
      <c r="I229" s="378"/>
      <c r="J229" s="432"/>
      <c r="K229" s="456"/>
      <c r="L229" s="457"/>
      <c r="M229" s="457"/>
      <c r="N229" s="383"/>
      <c r="O229" s="391"/>
    </row>
    <row r="230" spans="2:15" ht="33">
      <c r="B230" s="461"/>
      <c r="C230" s="396"/>
      <c r="D230" s="399"/>
      <c r="E230" s="385"/>
      <c r="F230" s="426"/>
      <c r="G230" s="125">
        <v>3</v>
      </c>
      <c r="H230" s="154" t="s">
        <v>243</v>
      </c>
      <c r="I230" s="378"/>
      <c r="J230" s="432"/>
      <c r="K230" s="456"/>
      <c r="L230" s="457"/>
      <c r="M230" s="457"/>
      <c r="N230" s="383"/>
      <c r="O230" s="391"/>
    </row>
    <row r="231" spans="2:15" ht="33">
      <c r="B231" s="461"/>
      <c r="C231" s="396"/>
      <c r="D231" s="399"/>
      <c r="E231" s="385"/>
      <c r="F231" s="426"/>
      <c r="G231" s="125">
        <v>4</v>
      </c>
      <c r="H231" s="154" t="s">
        <v>876</v>
      </c>
      <c r="I231" s="378"/>
      <c r="J231" s="432"/>
      <c r="K231" s="456"/>
      <c r="L231" s="457"/>
      <c r="M231" s="457"/>
      <c r="N231" s="383"/>
      <c r="O231" s="391"/>
    </row>
    <row r="232" spans="2:15" ht="49.5">
      <c r="B232" s="461"/>
      <c r="C232" s="396"/>
      <c r="D232" s="399"/>
      <c r="E232" s="385"/>
      <c r="F232" s="426"/>
      <c r="G232" s="125">
        <v>5</v>
      </c>
      <c r="H232" s="154" t="s">
        <v>244</v>
      </c>
      <c r="I232" s="378"/>
      <c r="J232" s="432"/>
      <c r="K232" s="456"/>
      <c r="L232" s="457"/>
      <c r="M232" s="457"/>
      <c r="N232" s="383"/>
      <c r="O232" s="391"/>
    </row>
    <row r="233" spans="2:15" ht="24.75" customHeight="1">
      <c r="B233" s="461"/>
      <c r="C233" s="396"/>
      <c r="D233" s="399"/>
      <c r="E233" s="385"/>
      <c r="F233" s="426"/>
      <c r="G233" s="125">
        <v>6</v>
      </c>
      <c r="H233" s="154" t="s">
        <v>245</v>
      </c>
      <c r="I233" s="378"/>
      <c r="J233" s="432"/>
      <c r="K233" s="456"/>
      <c r="L233" s="457"/>
      <c r="M233" s="457"/>
      <c r="N233" s="383"/>
      <c r="O233" s="391"/>
    </row>
    <row r="234" spans="2:15" ht="30" customHeight="1">
      <c r="B234" s="461"/>
      <c r="C234" s="396"/>
      <c r="D234" s="399"/>
      <c r="E234" s="385"/>
      <c r="F234" s="426"/>
      <c r="G234" s="125">
        <v>7</v>
      </c>
      <c r="H234" s="154" t="s">
        <v>246</v>
      </c>
      <c r="I234" s="378"/>
      <c r="J234" s="432"/>
      <c r="K234" s="456"/>
      <c r="L234" s="457"/>
      <c r="M234" s="457"/>
      <c r="N234" s="383"/>
      <c r="O234" s="391"/>
    </row>
    <row r="235" spans="2:15" ht="47.25" customHeight="1" thickBot="1">
      <c r="B235" s="462"/>
      <c r="C235" s="397"/>
      <c r="D235" s="400"/>
      <c r="E235" s="386"/>
      <c r="F235" s="427"/>
      <c r="G235" s="126">
        <v>8</v>
      </c>
      <c r="H235" s="155" t="s">
        <v>247</v>
      </c>
      <c r="I235" s="379"/>
      <c r="J235" s="433"/>
      <c r="K235" s="456"/>
      <c r="L235" s="457"/>
      <c r="M235" s="457"/>
      <c r="N235" s="383"/>
      <c r="O235" s="391"/>
    </row>
    <row r="236" spans="2:15" ht="22.5" customHeight="1"/>
    <row r="237" spans="2:15" ht="12" customHeight="1"/>
    <row r="238" spans="2:15" ht="22.5" customHeight="1"/>
    <row r="239" spans="2:15" ht="22.5" customHeight="1"/>
    <row r="240" spans="2:15"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sheetData>
  <sheetProtection formatCells="0" formatColumns="0" formatRows="0"/>
  <mergeCells count="381">
    <mergeCell ref="I196:I203"/>
    <mergeCell ref="I204:I211"/>
    <mergeCell ref="I212:I219"/>
    <mergeCell ref="I220:I227"/>
    <mergeCell ref="I228:I235"/>
    <mergeCell ref="I145:I152"/>
    <mergeCell ref="I153:I160"/>
    <mergeCell ref="I161:I168"/>
    <mergeCell ref="I177:I184"/>
    <mergeCell ref="I188:I195"/>
    <mergeCell ref="O169:O176"/>
    <mergeCell ref="A24:A31"/>
    <mergeCell ref="D32:D39"/>
    <mergeCell ref="J32:J39"/>
    <mergeCell ref="K32:K39"/>
    <mergeCell ref="C145:C152"/>
    <mergeCell ref="J161:J168"/>
    <mergeCell ref="J145:J152"/>
    <mergeCell ref="J118:J125"/>
    <mergeCell ref="F118:F125"/>
    <mergeCell ref="E118:E125"/>
    <mergeCell ref="D118:D125"/>
    <mergeCell ref="C118:C125"/>
    <mergeCell ref="C110:C117"/>
    <mergeCell ref="J110:J117"/>
    <mergeCell ref="F110:F117"/>
    <mergeCell ref="D137:D144"/>
    <mergeCell ref="E137:E144"/>
    <mergeCell ref="F137:F144"/>
    <mergeCell ref="J137:J144"/>
    <mergeCell ref="C129:C136"/>
    <mergeCell ref="D129:D136"/>
    <mergeCell ref="E129:E136"/>
    <mergeCell ref="F129:F136"/>
    <mergeCell ref="C137:C144"/>
    <mergeCell ref="D145:D152"/>
    <mergeCell ref="F145:F152"/>
    <mergeCell ref="C21:C23"/>
    <mergeCell ref="D21:D23"/>
    <mergeCell ref="F21:F23"/>
    <mergeCell ref="J21:J23"/>
    <mergeCell ref="E21:E23"/>
    <mergeCell ref="C18:K18"/>
    <mergeCell ref="C19:K19"/>
    <mergeCell ref="C48:C55"/>
    <mergeCell ref="D48:D55"/>
    <mergeCell ref="E48:E55"/>
    <mergeCell ref="F48:F55"/>
    <mergeCell ref="J48:J55"/>
    <mergeCell ref="C32:C39"/>
    <mergeCell ref="E32:E39"/>
    <mergeCell ref="F32:F39"/>
    <mergeCell ref="C72:C74"/>
    <mergeCell ref="D72:D74"/>
    <mergeCell ref="F72:F74"/>
    <mergeCell ref="J72:J74"/>
    <mergeCell ref="G73:G74"/>
    <mergeCell ref="H73:H74"/>
    <mergeCell ref="J24:J31"/>
    <mergeCell ref="C40:C47"/>
    <mergeCell ref="D40:D47"/>
    <mergeCell ref="E40:E47"/>
    <mergeCell ref="F40:F47"/>
    <mergeCell ref="J40:J47"/>
    <mergeCell ref="C24:C31"/>
    <mergeCell ref="D24:D31"/>
    <mergeCell ref="E24:E31"/>
    <mergeCell ref="F24:F31"/>
    <mergeCell ref="I32:I39"/>
    <mergeCell ref="I127:I128"/>
    <mergeCell ref="C91:C98"/>
    <mergeCell ref="D91:D98"/>
    <mergeCell ref="E91:E98"/>
    <mergeCell ref="F91:F98"/>
    <mergeCell ref="J91:J98"/>
    <mergeCell ref="J99:J101"/>
    <mergeCell ref="G100:G101"/>
    <mergeCell ref="H100:H101"/>
    <mergeCell ref="C99:C101"/>
    <mergeCell ref="D99:D101"/>
    <mergeCell ref="F99:F101"/>
    <mergeCell ref="E99:E101"/>
    <mergeCell ref="I100:I101"/>
    <mergeCell ref="I118:I125"/>
    <mergeCell ref="C228:C235"/>
    <mergeCell ref="D228:D235"/>
    <mergeCell ref="E228:E235"/>
    <mergeCell ref="F228:F235"/>
    <mergeCell ref="J228:J235"/>
    <mergeCell ref="H186:H187"/>
    <mergeCell ref="C185:C187"/>
    <mergeCell ref="D185:D187"/>
    <mergeCell ref="F185:F187"/>
    <mergeCell ref="J185:J187"/>
    <mergeCell ref="G186:G187"/>
    <mergeCell ref="J188:J195"/>
    <mergeCell ref="C212:C219"/>
    <mergeCell ref="D212:D219"/>
    <mergeCell ref="E212:E219"/>
    <mergeCell ref="F212:F219"/>
    <mergeCell ref="J212:J219"/>
    <mergeCell ref="C188:C195"/>
    <mergeCell ref="D188:D195"/>
    <mergeCell ref="E188:E195"/>
    <mergeCell ref="F188:F195"/>
    <mergeCell ref="C204:C211"/>
    <mergeCell ref="C220:C227"/>
    <mergeCell ref="F204:F211"/>
    <mergeCell ref="K212:K219"/>
    <mergeCell ref="K220:K227"/>
    <mergeCell ref="J220:J227"/>
    <mergeCell ref="J196:J203"/>
    <mergeCell ref="J204:J211"/>
    <mergeCell ref="C153:C160"/>
    <mergeCell ref="D153:D160"/>
    <mergeCell ref="E153:E160"/>
    <mergeCell ref="F153:F160"/>
    <mergeCell ref="J153:J160"/>
    <mergeCell ref="C177:C184"/>
    <mergeCell ref="D177:D184"/>
    <mergeCell ref="E177:E184"/>
    <mergeCell ref="F177:F184"/>
    <mergeCell ref="J177:J184"/>
    <mergeCell ref="C196:C203"/>
    <mergeCell ref="E185:E187"/>
    <mergeCell ref="C161:C168"/>
    <mergeCell ref="D161:D168"/>
    <mergeCell ref="D196:D203"/>
    <mergeCell ref="D204:D211"/>
    <mergeCell ref="D220:D227"/>
    <mergeCell ref="F161:F168"/>
    <mergeCell ref="F196:F203"/>
    <mergeCell ref="F220:F227"/>
    <mergeCell ref="E13:E14"/>
    <mergeCell ref="F13:J14"/>
    <mergeCell ref="F15:J15"/>
    <mergeCell ref="J129:J136"/>
    <mergeCell ref="J75:J82"/>
    <mergeCell ref="F64:F71"/>
    <mergeCell ref="J64:J71"/>
    <mergeCell ref="G22:G23"/>
    <mergeCell ref="H22:H23"/>
    <mergeCell ref="G21:I21"/>
    <mergeCell ref="I22:I23"/>
    <mergeCell ref="I24:I31"/>
    <mergeCell ref="I40:I47"/>
    <mergeCell ref="I48:I55"/>
    <mergeCell ref="I64:I71"/>
    <mergeCell ref="G72:I72"/>
    <mergeCell ref="I73:I74"/>
    <mergeCell ref="I75:I82"/>
    <mergeCell ref="I83:I90"/>
    <mergeCell ref="I91:I98"/>
    <mergeCell ref="G99:I99"/>
    <mergeCell ref="G185:I185"/>
    <mergeCell ref="I186:I187"/>
    <mergeCell ref="K228:K235"/>
    <mergeCell ref="K196:K203"/>
    <mergeCell ref="K21:K23"/>
    <mergeCell ref="K24:K31"/>
    <mergeCell ref="K40:K47"/>
    <mergeCell ref="K48:K55"/>
    <mergeCell ref="K64:K71"/>
    <mergeCell ref="K72:K74"/>
    <mergeCell ref="K99:K101"/>
    <mergeCell ref="K126:K128"/>
    <mergeCell ref="K185:K187"/>
    <mergeCell ref="K75:K82"/>
    <mergeCell ref="K83:K90"/>
    <mergeCell ref="K91:K98"/>
    <mergeCell ref="K102:K109"/>
    <mergeCell ref="K110:K117"/>
    <mergeCell ref="K118:K125"/>
    <mergeCell ref="K129:K136"/>
    <mergeCell ref="K137:K144"/>
    <mergeCell ref="K145:K152"/>
    <mergeCell ref="K153:K160"/>
    <mergeCell ref="K161:K168"/>
    <mergeCell ref="K177:K184"/>
    <mergeCell ref="K188:K195"/>
    <mergeCell ref="B24:B31"/>
    <mergeCell ref="B21:B23"/>
    <mergeCell ref="B40:B47"/>
    <mergeCell ref="B48:B55"/>
    <mergeCell ref="B64:B71"/>
    <mergeCell ref="B72:B74"/>
    <mergeCell ref="B75:B82"/>
    <mergeCell ref="B83:B90"/>
    <mergeCell ref="B91:B98"/>
    <mergeCell ref="B32:B39"/>
    <mergeCell ref="B56:B63"/>
    <mergeCell ref="B99:B101"/>
    <mergeCell ref="B102:B109"/>
    <mergeCell ref="B110:B117"/>
    <mergeCell ref="B118:B125"/>
    <mergeCell ref="B126:B128"/>
    <mergeCell ref="B129:B136"/>
    <mergeCell ref="B137:B144"/>
    <mergeCell ref="B145:B152"/>
    <mergeCell ref="B153:B160"/>
    <mergeCell ref="B161:B168"/>
    <mergeCell ref="B177:B184"/>
    <mergeCell ref="B185:B187"/>
    <mergeCell ref="B188:B195"/>
    <mergeCell ref="B196:B203"/>
    <mergeCell ref="B204:B211"/>
    <mergeCell ref="B212:B219"/>
    <mergeCell ref="B220:B227"/>
    <mergeCell ref="B228:B235"/>
    <mergeCell ref="B169:B176"/>
    <mergeCell ref="L21:L23"/>
    <mergeCell ref="L24:L31"/>
    <mergeCell ref="L40:L47"/>
    <mergeCell ref="L48:L55"/>
    <mergeCell ref="L64:L71"/>
    <mergeCell ref="L72:L74"/>
    <mergeCell ref="L75:L82"/>
    <mergeCell ref="L83:L90"/>
    <mergeCell ref="L91:L98"/>
    <mergeCell ref="L56:L63"/>
    <mergeCell ref="L32:L39"/>
    <mergeCell ref="M169:M176"/>
    <mergeCell ref="L220:L227"/>
    <mergeCell ref="L228:L235"/>
    <mergeCell ref="L99:L101"/>
    <mergeCell ref="L102:L109"/>
    <mergeCell ref="L110:L117"/>
    <mergeCell ref="L118:L125"/>
    <mergeCell ref="L126:L128"/>
    <mergeCell ref="L129:L136"/>
    <mergeCell ref="L137:L144"/>
    <mergeCell ref="L145:L152"/>
    <mergeCell ref="L153:L160"/>
    <mergeCell ref="L161:L168"/>
    <mergeCell ref="L177:L184"/>
    <mergeCell ref="L185:L187"/>
    <mergeCell ref="L188:L195"/>
    <mergeCell ref="L196:L203"/>
    <mergeCell ref="L204:L211"/>
    <mergeCell ref="L212:L219"/>
    <mergeCell ref="L169:L176"/>
    <mergeCell ref="M32:M39"/>
    <mergeCell ref="M188:M195"/>
    <mergeCell ref="M196:M203"/>
    <mergeCell ref="M204:M211"/>
    <mergeCell ref="M212:M219"/>
    <mergeCell ref="M21:M23"/>
    <mergeCell ref="M24:M31"/>
    <mergeCell ref="M40:M47"/>
    <mergeCell ref="M48:M55"/>
    <mergeCell ref="M64:M71"/>
    <mergeCell ref="M72:M74"/>
    <mergeCell ref="M75:M82"/>
    <mergeCell ref="M83:M90"/>
    <mergeCell ref="M91:M98"/>
    <mergeCell ref="M118:M125"/>
    <mergeCell ref="M126:M128"/>
    <mergeCell ref="M129:M136"/>
    <mergeCell ref="M137:M144"/>
    <mergeCell ref="M145:M152"/>
    <mergeCell ref="M153:M160"/>
    <mergeCell ref="M161:M168"/>
    <mergeCell ref="M177:M184"/>
    <mergeCell ref="M185:M187"/>
    <mergeCell ref="M56:M63"/>
    <mergeCell ref="K204:K211"/>
    <mergeCell ref="O220:O227"/>
    <mergeCell ref="O228:O235"/>
    <mergeCell ref="O99:O101"/>
    <mergeCell ref="O102:O109"/>
    <mergeCell ref="O110:O117"/>
    <mergeCell ref="O118:O125"/>
    <mergeCell ref="O126:O128"/>
    <mergeCell ref="O129:O136"/>
    <mergeCell ref="O137:O144"/>
    <mergeCell ref="O145:O152"/>
    <mergeCell ref="O153:O160"/>
    <mergeCell ref="O161:O168"/>
    <mergeCell ref="O177:O184"/>
    <mergeCell ref="O185:O187"/>
    <mergeCell ref="O188:O195"/>
    <mergeCell ref="O196:O203"/>
    <mergeCell ref="O204:O211"/>
    <mergeCell ref="O212:O219"/>
    <mergeCell ref="M220:M227"/>
    <mergeCell ref="M228:M235"/>
    <mergeCell ref="M99:M101"/>
    <mergeCell ref="M102:M109"/>
    <mergeCell ref="M110:M117"/>
    <mergeCell ref="C169:C176"/>
    <mergeCell ref="D169:D176"/>
    <mergeCell ref="E161:E168"/>
    <mergeCell ref="E169:E176"/>
    <mergeCell ref="F169:F176"/>
    <mergeCell ref="I169:I176"/>
    <mergeCell ref="J169:J176"/>
    <mergeCell ref="K169:K176"/>
    <mergeCell ref="C102:C109"/>
    <mergeCell ref="D102:D109"/>
    <mergeCell ref="E102:E109"/>
    <mergeCell ref="F102:F109"/>
    <mergeCell ref="J102:J109"/>
    <mergeCell ref="C126:C128"/>
    <mergeCell ref="D126:D128"/>
    <mergeCell ref="F126:F128"/>
    <mergeCell ref="J126:J128"/>
    <mergeCell ref="G127:G128"/>
    <mergeCell ref="H127:H128"/>
    <mergeCell ref="E126:E128"/>
    <mergeCell ref="D110:D117"/>
    <mergeCell ref="I102:I109"/>
    <mergeCell ref="I110:I117"/>
    <mergeCell ref="G126:I126"/>
    <mergeCell ref="C83:C90"/>
    <mergeCell ref="D83:D90"/>
    <mergeCell ref="E83:E90"/>
    <mergeCell ref="F83:F90"/>
    <mergeCell ref="J83:J90"/>
    <mergeCell ref="C75:C82"/>
    <mergeCell ref="D75:D82"/>
    <mergeCell ref="E75:E82"/>
    <mergeCell ref="F75:F82"/>
    <mergeCell ref="C56:C63"/>
    <mergeCell ref="D56:D63"/>
    <mergeCell ref="E56:E63"/>
    <mergeCell ref="F56:F63"/>
    <mergeCell ref="J56:J63"/>
    <mergeCell ref="K56:K63"/>
    <mergeCell ref="E72:E74"/>
    <mergeCell ref="C64:C71"/>
    <mergeCell ref="D64:D71"/>
    <mergeCell ref="E64:E71"/>
    <mergeCell ref="I56:I63"/>
    <mergeCell ref="N110:N117"/>
    <mergeCell ref="N118:N125"/>
    <mergeCell ref="N126:N128"/>
    <mergeCell ref="N129:N136"/>
    <mergeCell ref="N137:N144"/>
    <mergeCell ref="N21:N23"/>
    <mergeCell ref="N24:N31"/>
    <mergeCell ref="O32:O39"/>
    <mergeCell ref="N40:N47"/>
    <mergeCell ref="N48:N55"/>
    <mergeCell ref="N56:N63"/>
    <mergeCell ref="N64:N71"/>
    <mergeCell ref="N72:N74"/>
    <mergeCell ref="N75:N82"/>
    <mergeCell ref="O21:O23"/>
    <mergeCell ref="O24:O31"/>
    <mergeCell ref="O40:O47"/>
    <mergeCell ref="O48:O55"/>
    <mergeCell ref="O64:O71"/>
    <mergeCell ref="O72:O74"/>
    <mergeCell ref="O75:O82"/>
    <mergeCell ref="O83:O90"/>
    <mergeCell ref="O91:O98"/>
    <mergeCell ref="O56:O63"/>
    <mergeCell ref="I129:I136"/>
    <mergeCell ref="I137:I144"/>
    <mergeCell ref="N212:N219"/>
    <mergeCell ref="N220:N227"/>
    <mergeCell ref="N228:N235"/>
    <mergeCell ref="N32:N39"/>
    <mergeCell ref="E110:E117"/>
    <mergeCell ref="E145:E152"/>
    <mergeCell ref="E196:E203"/>
    <mergeCell ref="E204:E211"/>
    <mergeCell ref="E220:E227"/>
    <mergeCell ref="N145:N152"/>
    <mergeCell ref="N153:N160"/>
    <mergeCell ref="N161:N168"/>
    <mergeCell ref="N169:N176"/>
    <mergeCell ref="N177:N184"/>
    <mergeCell ref="N185:N187"/>
    <mergeCell ref="N188:N195"/>
    <mergeCell ref="N196:N203"/>
    <mergeCell ref="N204:N211"/>
    <mergeCell ref="N83:N90"/>
    <mergeCell ref="N91:N98"/>
    <mergeCell ref="N99:N101"/>
    <mergeCell ref="N102:N109"/>
  </mergeCells>
  <dataValidations count="1">
    <dataValidation type="list" allowBlank="1" showInputMessage="1" showErrorMessage="1" sqref="F177:F184 J75:J98 J102:J125 F75:F98 J177 F102:F125 J228 F40:F71 F228:F235 F129:F145 J169 F188:F196 F204 F212:F220 J129 J137 J145 J153 J161 J188 J196 J204 J212 J220 F24:F32 J24:J32 F169 J40:J56 J64:J71 F153 F161" xr:uid="{00000000-0002-0000-0200-000000000000}">
      <formula1>"1,2,3"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83A343"/>
  </sheetPr>
  <dimension ref="B5:P160"/>
  <sheetViews>
    <sheetView showGridLines="0" topLeftCell="A146" zoomScaleNormal="100" workbookViewId="0">
      <selection activeCell="I110" sqref="I110:I117"/>
    </sheetView>
  </sheetViews>
  <sheetFormatPr baseColWidth="10" defaultColWidth="3.140625" defaultRowHeight="22.5" customHeight="1"/>
  <cols>
    <col min="1" max="1" width="2.5703125" style="9" customWidth="1"/>
    <col min="2" max="2" width="3.42578125" style="9" hidden="1" customWidth="1"/>
    <col min="3" max="4" width="42.5703125" style="9" customWidth="1"/>
    <col min="5" max="5" width="38" style="9" customWidth="1"/>
    <col min="6" max="6" width="7.42578125" style="9" customWidth="1"/>
    <col min="7" max="7" width="3.5703125" style="9" bestFit="1" customWidth="1"/>
    <col min="8" max="8" width="45.140625" style="9" customWidth="1"/>
    <col min="9" max="9" width="43.28515625" style="98" customWidth="1"/>
    <col min="10" max="10" width="7.42578125" style="9" customWidth="1"/>
    <col min="11" max="11" width="16.140625" style="9" customWidth="1"/>
    <col min="12" max="12" width="4.7109375" style="47" customWidth="1"/>
    <col min="13" max="13" width="7.5703125" style="47" customWidth="1"/>
    <col min="14" max="14" width="6.28515625" style="48" customWidth="1"/>
    <col min="15" max="15" width="6.28515625" style="65" customWidth="1"/>
    <col min="16" max="16" width="3.140625" style="66" customWidth="1"/>
    <col min="17" max="16364" width="3.140625" style="9" customWidth="1"/>
    <col min="16365" max="16384" width="3.140625" style="9"/>
  </cols>
  <sheetData>
    <row r="5" spans="2:16" ht="9.9499999999999993" customHeight="1"/>
    <row r="6" spans="2:16" ht="31.5" customHeight="1"/>
    <row r="7" spans="2:16" ht="30.75" customHeight="1">
      <c r="E7" s="13"/>
      <c r="F7" s="13"/>
    </row>
    <row r="8" spans="2:16" ht="20.25" customHeight="1"/>
    <row r="9" spans="2:16" ht="9.9499999999999993" customHeight="1"/>
    <row r="10" spans="2:16" ht="19.7" customHeight="1">
      <c r="C10" s="593" t="s">
        <v>248</v>
      </c>
      <c r="D10" s="593"/>
      <c r="E10" s="593"/>
      <c r="F10" s="593"/>
      <c r="G10" s="593"/>
      <c r="H10" s="593"/>
      <c r="I10" s="593"/>
      <c r="J10" s="593"/>
      <c r="K10" s="593"/>
    </row>
    <row r="11" spans="2:16" ht="71.25" customHeight="1">
      <c r="C11" s="532" t="s">
        <v>249</v>
      </c>
      <c r="D11" s="532"/>
      <c r="E11" s="532"/>
      <c r="F11" s="532"/>
      <c r="G11" s="532"/>
      <c r="H11" s="532"/>
      <c r="I11" s="532"/>
      <c r="J11" s="532"/>
      <c r="K11" s="532"/>
    </row>
    <row r="12" spans="2:16" ht="9.9499999999999993" customHeight="1">
      <c r="C12" s="10"/>
      <c r="D12" s="10"/>
      <c r="F12" s="11"/>
    </row>
    <row r="13" spans="2:16" ht="36.75" customHeight="1">
      <c r="B13" s="565" t="s">
        <v>111</v>
      </c>
      <c r="C13" s="571" t="s">
        <v>250</v>
      </c>
      <c r="D13" s="607" t="s">
        <v>8</v>
      </c>
      <c r="E13" s="607" t="s">
        <v>251</v>
      </c>
      <c r="F13" s="577" t="s">
        <v>252</v>
      </c>
      <c r="G13" s="599" t="s">
        <v>115</v>
      </c>
      <c r="H13" s="600"/>
      <c r="I13" s="600"/>
      <c r="J13" s="577" t="s">
        <v>253</v>
      </c>
      <c r="K13" s="577" t="s">
        <v>150</v>
      </c>
      <c r="L13" s="661"/>
      <c r="M13" s="661"/>
      <c r="N13" s="561"/>
      <c r="O13" s="663"/>
      <c r="P13" s="665"/>
    </row>
    <row r="14" spans="2:16" ht="29.25" customHeight="1">
      <c r="B14" s="566"/>
      <c r="C14" s="566"/>
      <c r="D14" s="612"/>
      <c r="E14" s="612"/>
      <c r="F14" s="577"/>
      <c r="G14" s="653" t="s">
        <v>13</v>
      </c>
      <c r="H14" s="607" t="s">
        <v>151</v>
      </c>
      <c r="I14" s="607" t="s">
        <v>254</v>
      </c>
      <c r="J14" s="577"/>
      <c r="K14" s="577"/>
      <c r="L14" s="661"/>
      <c r="M14" s="661"/>
      <c r="N14" s="561"/>
      <c r="O14" s="663"/>
      <c r="P14" s="665"/>
    </row>
    <row r="15" spans="2:16" ht="99.75" customHeight="1" thickBot="1">
      <c r="B15" s="567"/>
      <c r="C15" s="567"/>
      <c r="D15" s="608"/>
      <c r="E15" s="608"/>
      <c r="F15" s="578"/>
      <c r="G15" s="654"/>
      <c r="H15" s="613"/>
      <c r="I15" s="608"/>
      <c r="J15" s="578"/>
      <c r="K15" s="578"/>
      <c r="L15" s="661"/>
      <c r="M15" s="661"/>
      <c r="N15" s="561"/>
      <c r="O15" s="663"/>
      <c r="P15" s="665"/>
    </row>
    <row r="16" spans="2:16" ht="51.75" customHeight="1">
      <c r="B16" s="460" t="str">
        <f>+LEFT(C16,3)</f>
        <v>6.1</v>
      </c>
      <c r="C16" s="579" t="s">
        <v>255</v>
      </c>
      <c r="D16" s="582" t="s">
        <v>256</v>
      </c>
      <c r="E16" s="609" t="s">
        <v>733</v>
      </c>
      <c r="F16" s="585">
        <v>3</v>
      </c>
      <c r="G16" s="70">
        <v>1</v>
      </c>
      <c r="H16" s="171" t="s">
        <v>257</v>
      </c>
      <c r="I16" s="614" t="s">
        <v>847</v>
      </c>
      <c r="J16" s="601">
        <v>3</v>
      </c>
      <c r="K16" s="572" t="str">
        <f>+IF(OR(ISBLANK(F16),ISBLANK(J16)),"",IF(OR(AND(F16=1,J16=1),AND(F16=1,J16=2),AND(F16=1,J16=3)),"Deficiencia de control mayor (diseño y ejecución)",IF(OR(AND(F16=2,J16=2),AND(F16=3,J16=1),AND(F16=3,J16=2),AND(F16=2,J16=1)),"Deficiencia de control (diseño o ejecución)",IF(AND(F16=2,J16=3),"Oportunidad de mejora","Mantenimiento del control"))))</f>
        <v>Mantenimiento del control</v>
      </c>
      <c r="L16" s="457">
        <f>+IF(K16="",75,IF(K16="Deficiencia de control mayor (diseño y ejecución)",80,IF(K16="Deficiencia de control (diseño o ejecución)",100,IF(K16="Oportunidad de mejora",120,140))))</f>
        <v>140</v>
      </c>
      <c r="M16" s="662">
        <v>1.7896000000000001</v>
      </c>
      <c r="N16" s="559">
        <f>+L16+M16</f>
        <v>141.78960000000001</v>
      </c>
      <c r="P16" s="666"/>
    </row>
    <row r="17" spans="2:16" ht="81.75" customHeight="1">
      <c r="B17" s="461"/>
      <c r="C17" s="580"/>
      <c r="D17" s="583"/>
      <c r="E17" s="610"/>
      <c r="F17" s="586"/>
      <c r="G17" s="68">
        <v>2</v>
      </c>
      <c r="H17" s="172" t="s">
        <v>258</v>
      </c>
      <c r="I17" s="615"/>
      <c r="J17" s="602"/>
      <c r="K17" s="573"/>
      <c r="L17" s="457"/>
      <c r="M17" s="662"/>
      <c r="N17" s="559"/>
      <c r="P17" s="666"/>
    </row>
    <row r="18" spans="2:16" ht="76.5" customHeight="1">
      <c r="B18" s="461"/>
      <c r="C18" s="580"/>
      <c r="D18" s="583"/>
      <c r="E18" s="610"/>
      <c r="F18" s="586"/>
      <c r="G18" s="68">
        <v>3</v>
      </c>
      <c r="H18" s="172" t="s">
        <v>259</v>
      </c>
      <c r="I18" s="615"/>
      <c r="J18" s="602"/>
      <c r="K18" s="573"/>
      <c r="L18" s="457"/>
      <c r="M18" s="662"/>
      <c r="N18" s="559"/>
      <c r="P18" s="666"/>
    </row>
    <row r="19" spans="2:16" ht="26.25" customHeight="1">
      <c r="B19" s="461"/>
      <c r="C19" s="580"/>
      <c r="D19" s="583"/>
      <c r="E19" s="610"/>
      <c r="F19" s="586"/>
      <c r="G19" s="68">
        <v>4</v>
      </c>
      <c r="H19" s="96"/>
      <c r="I19" s="615"/>
      <c r="J19" s="602"/>
      <c r="K19" s="573"/>
      <c r="L19" s="457"/>
      <c r="M19" s="662"/>
      <c r="N19" s="559"/>
      <c r="P19" s="666"/>
    </row>
    <row r="20" spans="2:16" ht="26.25" customHeight="1">
      <c r="B20" s="461"/>
      <c r="C20" s="580"/>
      <c r="D20" s="583"/>
      <c r="E20" s="610"/>
      <c r="F20" s="586"/>
      <c r="G20" s="68">
        <v>5</v>
      </c>
      <c r="H20" s="96"/>
      <c r="I20" s="615"/>
      <c r="J20" s="602"/>
      <c r="K20" s="573"/>
      <c r="L20" s="457"/>
      <c r="M20" s="662"/>
      <c r="N20" s="559"/>
      <c r="P20" s="666"/>
    </row>
    <row r="21" spans="2:16" ht="26.25" customHeight="1">
      <c r="B21" s="461"/>
      <c r="C21" s="580"/>
      <c r="D21" s="583"/>
      <c r="E21" s="610"/>
      <c r="F21" s="586"/>
      <c r="G21" s="68">
        <v>6</v>
      </c>
      <c r="H21" s="96"/>
      <c r="I21" s="615"/>
      <c r="J21" s="602"/>
      <c r="K21" s="573"/>
      <c r="L21" s="457"/>
      <c r="M21" s="662"/>
      <c r="N21" s="559"/>
      <c r="P21" s="666"/>
    </row>
    <row r="22" spans="2:16" ht="26.25" customHeight="1">
      <c r="B22" s="461"/>
      <c r="C22" s="580"/>
      <c r="D22" s="583"/>
      <c r="E22" s="610"/>
      <c r="F22" s="586"/>
      <c r="G22" s="68">
        <v>7</v>
      </c>
      <c r="H22" s="96"/>
      <c r="I22" s="615"/>
      <c r="J22" s="602"/>
      <c r="K22" s="573"/>
      <c r="L22" s="457"/>
      <c r="M22" s="662"/>
      <c r="N22" s="559"/>
      <c r="P22" s="666"/>
    </row>
    <row r="23" spans="2:16" ht="26.25" customHeight="1" thickBot="1">
      <c r="B23" s="462"/>
      <c r="C23" s="581"/>
      <c r="D23" s="584"/>
      <c r="E23" s="611"/>
      <c r="F23" s="587"/>
      <c r="G23" s="69">
        <v>8</v>
      </c>
      <c r="H23" s="97"/>
      <c r="I23" s="616"/>
      <c r="J23" s="603"/>
      <c r="K23" s="592"/>
      <c r="L23" s="457"/>
      <c r="M23" s="662"/>
      <c r="N23" s="559"/>
      <c r="P23" s="666"/>
    </row>
    <row r="24" spans="2:16" ht="67.5" customHeight="1">
      <c r="B24" s="562" t="str">
        <f>+LEFT(C24,3)</f>
        <v>6.2</v>
      </c>
      <c r="C24" s="620" t="s">
        <v>260</v>
      </c>
      <c r="D24" s="582" t="s">
        <v>261</v>
      </c>
      <c r="E24" s="609" t="s">
        <v>734</v>
      </c>
      <c r="F24" s="585">
        <v>3</v>
      </c>
      <c r="G24" s="70">
        <v>1</v>
      </c>
      <c r="H24" s="172" t="s">
        <v>262</v>
      </c>
      <c r="I24" s="617" t="s">
        <v>848</v>
      </c>
      <c r="J24" s="604">
        <v>3</v>
      </c>
      <c r="K24" s="596" t="str">
        <f>+IF(OR(ISBLANK(F24),ISBLANK(J24)),"",IF(OR(AND(F24=1,J24=1),AND(F24=1,J24=2),AND(F24=1,J24=3)),"Deficiencia de control mayor (diseño y ejecución)",IF(OR(AND(F24=2,J24=2),AND(F24=3,J24=1),AND(F24=3,J24=2),AND(F24=2,J24=1)),"Deficiencia de control (diseño o ejecución)",IF(AND(F24=2,J24=3),"Oportunidad de mejora","Mantenimiento del control"))))</f>
        <v>Mantenimiento del control</v>
      </c>
      <c r="L24" s="457">
        <f>+IF(K24="",75,IF(K24="Deficiencia de control mayor (diseño y ejecución)",80,IF(K24="Deficiencia de control (diseño o ejecución)",100,IF(K24="Oportunidad de mejora",120,140))))</f>
        <v>140</v>
      </c>
      <c r="M24" s="662">
        <v>1.8895999999999999</v>
      </c>
      <c r="N24" s="559">
        <f>+L24+M24</f>
        <v>141.8896</v>
      </c>
      <c r="O24" s="664"/>
      <c r="P24" s="666"/>
    </row>
    <row r="25" spans="2:16" ht="54" customHeight="1">
      <c r="B25" s="563"/>
      <c r="C25" s="621"/>
      <c r="D25" s="583"/>
      <c r="E25" s="610"/>
      <c r="F25" s="586"/>
      <c r="G25" s="68">
        <v>2</v>
      </c>
      <c r="H25" s="172" t="s">
        <v>735</v>
      </c>
      <c r="I25" s="618"/>
      <c r="J25" s="605"/>
      <c r="K25" s="597"/>
      <c r="L25" s="457"/>
      <c r="M25" s="662"/>
      <c r="N25" s="559"/>
      <c r="O25" s="664"/>
      <c r="P25" s="666"/>
    </row>
    <row r="26" spans="2:16" ht="63" customHeight="1">
      <c r="B26" s="563"/>
      <c r="C26" s="621"/>
      <c r="D26" s="583"/>
      <c r="E26" s="610"/>
      <c r="F26" s="586"/>
      <c r="G26" s="68">
        <v>3</v>
      </c>
      <c r="H26" s="172" t="s">
        <v>263</v>
      </c>
      <c r="I26" s="618"/>
      <c r="J26" s="605"/>
      <c r="K26" s="597"/>
      <c r="L26" s="457"/>
      <c r="M26" s="662"/>
      <c r="N26" s="559"/>
      <c r="O26" s="664"/>
      <c r="P26" s="666"/>
    </row>
    <row r="27" spans="2:16" ht="43.5" customHeight="1">
      <c r="B27" s="563"/>
      <c r="C27" s="621"/>
      <c r="D27" s="583"/>
      <c r="E27" s="610"/>
      <c r="F27" s="586"/>
      <c r="G27" s="68">
        <v>4</v>
      </c>
      <c r="H27" s="172" t="s">
        <v>736</v>
      </c>
      <c r="I27" s="618"/>
      <c r="J27" s="605"/>
      <c r="K27" s="597"/>
      <c r="L27" s="457"/>
      <c r="M27" s="662"/>
      <c r="N27" s="559"/>
      <c r="O27" s="664"/>
      <c r="P27" s="666"/>
    </row>
    <row r="28" spans="2:16" ht="57.75" customHeight="1">
      <c r="B28" s="563"/>
      <c r="C28" s="621"/>
      <c r="D28" s="583"/>
      <c r="E28" s="610"/>
      <c r="F28" s="586"/>
      <c r="G28" s="68">
        <v>5</v>
      </c>
      <c r="H28" s="172" t="s">
        <v>737</v>
      </c>
      <c r="I28" s="618"/>
      <c r="J28" s="605"/>
      <c r="K28" s="597"/>
      <c r="L28" s="457"/>
      <c r="M28" s="662"/>
      <c r="N28" s="559"/>
      <c r="O28" s="664"/>
      <c r="P28" s="666"/>
    </row>
    <row r="29" spans="2:16" ht="55.5" customHeight="1">
      <c r="B29" s="563"/>
      <c r="C29" s="621"/>
      <c r="D29" s="583"/>
      <c r="E29" s="610"/>
      <c r="F29" s="586"/>
      <c r="G29" s="68">
        <v>6</v>
      </c>
      <c r="H29" s="172" t="s">
        <v>738</v>
      </c>
      <c r="I29" s="618"/>
      <c r="J29" s="605"/>
      <c r="K29" s="597"/>
      <c r="L29" s="457"/>
      <c r="M29" s="662"/>
      <c r="N29" s="559"/>
      <c r="O29" s="664"/>
      <c r="P29" s="666"/>
    </row>
    <row r="30" spans="2:16" ht="65.25" customHeight="1">
      <c r="B30" s="563"/>
      <c r="C30" s="621"/>
      <c r="D30" s="583"/>
      <c r="E30" s="610"/>
      <c r="F30" s="586"/>
      <c r="G30" s="68">
        <v>7</v>
      </c>
      <c r="I30" s="618"/>
      <c r="J30" s="605"/>
      <c r="K30" s="597"/>
      <c r="L30" s="457"/>
      <c r="M30" s="662"/>
      <c r="N30" s="559"/>
      <c r="O30" s="664"/>
      <c r="P30" s="666"/>
    </row>
    <row r="31" spans="2:16" ht="43.5" customHeight="1" thickBot="1">
      <c r="B31" s="564"/>
      <c r="C31" s="622"/>
      <c r="D31" s="584"/>
      <c r="E31" s="611"/>
      <c r="F31" s="587"/>
      <c r="G31" s="69">
        <v>8</v>
      </c>
      <c r="H31" s="172"/>
      <c r="I31" s="619"/>
      <c r="J31" s="606"/>
      <c r="K31" s="598"/>
      <c r="L31" s="457"/>
      <c r="M31" s="662"/>
      <c r="N31" s="559"/>
      <c r="O31" s="664"/>
      <c r="P31" s="666"/>
    </row>
    <row r="32" spans="2:16" ht="78" customHeight="1">
      <c r="B32" s="568" t="str">
        <f>+LEFT(C32,3)</f>
        <v>6.3</v>
      </c>
      <c r="C32" s="620" t="s">
        <v>264</v>
      </c>
      <c r="D32" s="582" t="s">
        <v>265</v>
      </c>
      <c r="E32" s="609" t="s">
        <v>739</v>
      </c>
      <c r="F32" s="585">
        <v>3</v>
      </c>
      <c r="G32" s="70">
        <v>1</v>
      </c>
      <c r="H32" s="172" t="s">
        <v>806</v>
      </c>
      <c r="I32" s="614" t="s">
        <v>892</v>
      </c>
      <c r="J32" s="585">
        <v>3</v>
      </c>
      <c r="K32" s="572" t="str">
        <f>+IF(OR(ISBLANK(F32),ISBLANK(J32)),"",IF(OR(AND(F32=1,J32=1),AND(F32=1,J32=2),AND(F32=1,J32=3)),"Deficiencia de control mayor (diseño y ejecución)",IF(OR(AND(F32=2,J32=2),AND(F32=3,J32=1),AND(F32=3,J32=2),AND(F32=2,J32=1)),"Deficiencia de control (diseño o ejecución)",IF(AND(F32=2,J32=3),"Oportunidad de mejora","Mantenimiento del control"))))</f>
        <v>Mantenimiento del control</v>
      </c>
      <c r="L32" s="457">
        <f>+IF(K32="",75,IF(K32="Deficiencia de control mayor (diseño y ejecución)",80,IF(K32="Deficiencia de control (diseño o ejecución)",100,IF(K32="Oportunidad de mejora",120,140))))</f>
        <v>140</v>
      </c>
      <c r="M32" s="662">
        <v>1.9754</v>
      </c>
      <c r="N32" s="559">
        <f>+L32+M32</f>
        <v>141.97540000000001</v>
      </c>
      <c r="O32" s="664"/>
      <c r="P32" s="666"/>
    </row>
    <row r="33" spans="2:16" ht="54" customHeight="1">
      <c r="B33" s="569"/>
      <c r="C33" s="621"/>
      <c r="D33" s="583"/>
      <c r="E33" s="610"/>
      <c r="F33" s="586"/>
      <c r="G33" s="68">
        <v>2</v>
      </c>
      <c r="H33" s="172" t="s">
        <v>807</v>
      </c>
      <c r="I33" s="615"/>
      <c r="J33" s="586"/>
      <c r="K33" s="573"/>
      <c r="L33" s="457"/>
      <c r="M33" s="662"/>
      <c r="N33" s="559"/>
      <c r="O33" s="664"/>
      <c r="P33" s="666"/>
    </row>
    <row r="34" spans="2:16" ht="63" customHeight="1">
      <c r="B34" s="569"/>
      <c r="C34" s="621"/>
      <c r="D34" s="583"/>
      <c r="E34" s="610"/>
      <c r="F34" s="586"/>
      <c r="G34" s="68">
        <v>3</v>
      </c>
      <c r="H34" s="172" t="s">
        <v>808</v>
      </c>
      <c r="I34" s="615"/>
      <c r="J34" s="586"/>
      <c r="K34" s="573"/>
      <c r="L34" s="457"/>
      <c r="M34" s="662"/>
      <c r="N34" s="559"/>
      <c r="O34" s="664"/>
      <c r="P34" s="666"/>
    </row>
    <row r="35" spans="2:16" ht="70.5" customHeight="1">
      <c r="B35" s="569"/>
      <c r="C35" s="621"/>
      <c r="D35" s="583"/>
      <c r="E35" s="610"/>
      <c r="F35" s="586"/>
      <c r="G35" s="68">
        <v>4</v>
      </c>
      <c r="H35" s="172" t="s">
        <v>740</v>
      </c>
      <c r="I35" s="615"/>
      <c r="J35" s="586"/>
      <c r="K35" s="573"/>
      <c r="L35" s="457"/>
      <c r="M35" s="662"/>
      <c r="N35" s="559"/>
      <c r="O35" s="664"/>
      <c r="P35" s="666"/>
    </row>
    <row r="36" spans="2:16" ht="33.75" customHeight="1">
      <c r="B36" s="569"/>
      <c r="C36" s="621"/>
      <c r="D36" s="583"/>
      <c r="E36" s="610"/>
      <c r="F36" s="586"/>
      <c r="G36" s="68">
        <v>5</v>
      </c>
      <c r="H36" s="102"/>
      <c r="I36" s="615"/>
      <c r="J36" s="586"/>
      <c r="K36" s="573"/>
      <c r="L36" s="457"/>
      <c r="M36" s="662"/>
      <c r="N36" s="559"/>
      <c r="O36" s="664"/>
      <c r="P36" s="666"/>
    </row>
    <row r="37" spans="2:16" ht="33.75" customHeight="1">
      <c r="B37" s="569"/>
      <c r="C37" s="621"/>
      <c r="D37" s="583"/>
      <c r="E37" s="610"/>
      <c r="F37" s="586"/>
      <c r="G37" s="68">
        <v>6</v>
      </c>
      <c r="H37" s="102"/>
      <c r="I37" s="615"/>
      <c r="J37" s="586"/>
      <c r="K37" s="573"/>
      <c r="L37" s="457"/>
      <c r="M37" s="662"/>
      <c r="N37" s="559"/>
      <c r="O37" s="664"/>
      <c r="P37" s="666"/>
    </row>
    <row r="38" spans="2:16" ht="33.75" customHeight="1">
      <c r="B38" s="569"/>
      <c r="C38" s="621"/>
      <c r="D38" s="583"/>
      <c r="E38" s="610"/>
      <c r="F38" s="586"/>
      <c r="G38" s="68">
        <v>7</v>
      </c>
      <c r="H38" s="102"/>
      <c r="I38" s="615"/>
      <c r="J38" s="586"/>
      <c r="K38" s="573"/>
      <c r="L38" s="457"/>
      <c r="M38" s="662"/>
      <c r="N38" s="559"/>
      <c r="O38" s="664"/>
      <c r="P38" s="666"/>
    </row>
    <row r="39" spans="2:16" ht="33.75" customHeight="1" thickBot="1">
      <c r="B39" s="570"/>
      <c r="C39" s="622"/>
      <c r="D39" s="584"/>
      <c r="E39" s="611"/>
      <c r="F39" s="587"/>
      <c r="G39" s="69">
        <v>8</v>
      </c>
      <c r="H39" s="103"/>
      <c r="I39" s="616"/>
      <c r="J39" s="587"/>
      <c r="K39" s="592"/>
      <c r="L39" s="457"/>
      <c r="M39" s="662"/>
      <c r="N39" s="559"/>
      <c r="O39" s="664"/>
      <c r="P39" s="666"/>
    </row>
    <row r="40" spans="2:16" ht="22.5" customHeight="1">
      <c r="B40" s="571"/>
      <c r="C40" s="571" t="s">
        <v>266</v>
      </c>
      <c r="D40" s="607" t="s">
        <v>8</v>
      </c>
      <c r="E40" s="633" t="s">
        <v>251</v>
      </c>
      <c r="F40" s="627" t="s">
        <v>252</v>
      </c>
      <c r="G40" s="638" t="s">
        <v>115</v>
      </c>
      <c r="H40" s="639"/>
      <c r="I40" s="639"/>
      <c r="J40" s="627" t="s">
        <v>253</v>
      </c>
      <c r="K40" s="594" t="s">
        <v>150</v>
      </c>
      <c r="L40" s="660"/>
      <c r="M40" s="660"/>
      <c r="N40" s="560"/>
      <c r="O40" s="663"/>
      <c r="P40" s="665"/>
    </row>
    <row r="41" spans="2:16" ht="22.5" customHeight="1">
      <c r="B41" s="566"/>
      <c r="C41" s="566"/>
      <c r="D41" s="612"/>
      <c r="E41" s="649"/>
      <c r="F41" s="627"/>
      <c r="G41" s="636" t="s">
        <v>13</v>
      </c>
      <c r="H41" s="633" t="s">
        <v>151</v>
      </c>
      <c r="I41" s="633" t="s">
        <v>254</v>
      </c>
      <c r="J41" s="627"/>
      <c r="K41" s="594"/>
      <c r="L41" s="660"/>
      <c r="M41" s="660"/>
      <c r="N41" s="560"/>
      <c r="O41" s="663"/>
      <c r="P41" s="665"/>
    </row>
    <row r="42" spans="2:16" ht="91.5" customHeight="1" thickBot="1">
      <c r="B42" s="567"/>
      <c r="C42" s="567"/>
      <c r="D42" s="608"/>
      <c r="E42" s="634"/>
      <c r="F42" s="628"/>
      <c r="G42" s="637"/>
      <c r="H42" s="671"/>
      <c r="I42" s="634"/>
      <c r="J42" s="628"/>
      <c r="K42" s="595"/>
      <c r="L42" s="660"/>
      <c r="M42" s="660"/>
      <c r="N42" s="560"/>
      <c r="O42" s="663"/>
      <c r="P42" s="665"/>
    </row>
    <row r="43" spans="2:16" ht="96.75" customHeight="1">
      <c r="B43" s="562" t="str">
        <f>+LEFT(C43,3)</f>
        <v>7.1</v>
      </c>
      <c r="C43" s="620" t="s">
        <v>267</v>
      </c>
      <c r="D43" s="644" t="s">
        <v>256</v>
      </c>
      <c r="E43" s="640" t="s">
        <v>741</v>
      </c>
      <c r="F43" s="585">
        <v>3</v>
      </c>
      <c r="G43" s="70">
        <v>1</v>
      </c>
      <c r="H43" s="172" t="s">
        <v>268</v>
      </c>
      <c r="I43" s="650" t="s">
        <v>877</v>
      </c>
      <c r="J43" s="585">
        <v>3</v>
      </c>
      <c r="K43" s="572" t="str">
        <f>+IF(OR(ISBLANK(F43),ISBLANK(J43)),"",IF(OR(AND(F43=1,J43=1),AND(F43=1,J43=2),AND(F43=1,J43=3)),"Deficiencia de control mayor (diseño y ejecución)",IF(OR(AND(F43=2,J43=2),AND(F43=3,J43=1),AND(F43=3,J43=2),AND(F43=2,J43=1)),"Deficiencia de control (diseño o ejecución)",IF(AND(F43=2,J43=3),"Oportunidad de mejora","Mantenimiento del control"))))</f>
        <v>Mantenimiento del control</v>
      </c>
      <c r="L43" s="457">
        <f>+IF(K43="",75,IF(K43="Deficiencia de control mayor (diseño y ejecución)",80,IF(K43="Deficiencia de control (diseño o ejecución)",100,IF(K43="Oportunidad de mejora",120,140))))</f>
        <v>140</v>
      </c>
      <c r="M43" s="662">
        <v>2.0895999999999999</v>
      </c>
      <c r="N43" s="559">
        <f>+L43+M43</f>
        <v>142.08959999999999</v>
      </c>
      <c r="O43" s="664"/>
      <c r="P43" s="666"/>
    </row>
    <row r="44" spans="2:16" ht="69.75" customHeight="1">
      <c r="B44" s="563"/>
      <c r="C44" s="621"/>
      <c r="D44" s="645"/>
      <c r="E44" s="647"/>
      <c r="F44" s="586"/>
      <c r="G44" s="68">
        <v>2</v>
      </c>
      <c r="H44" s="172" t="s">
        <v>269</v>
      </c>
      <c r="I44" s="651"/>
      <c r="J44" s="586"/>
      <c r="K44" s="573"/>
      <c r="L44" s="457"/>
      <c r="M44" s="662"/>
      <c r="N44" s="559"/>
      <c r="O44" s="664"/>
      <c r="P44" s="666"/>
    </row>
    <row r="45" spans="2:16" ht="40.5" customHeight="1">
      <c r="B45" s="563"/>
      <c r="C45" s="621"/>
      <c r="D45" s="645"/>
      <c r="E45" s="647"/>
      <c r="F45" s="586"/>
      <c r="G45" s="68">
        <v>3</v>
      </c>
      <c r="H45" s="172" t="s">
        <v>174</v>
      </c>
      <c r="I45" s="651"/>
      <c r="J45" s="586"/>
      <c r="K45" s="573"/>
      <c r="L45" s="457"/>
      <c r="M45" s="662"/>
      <c r="N45" s="559"/>
      <c r="O45" s="664"/>
      <c r="P45" s="666"/>
    </row>
    <row r="46" spans="2:16" ht="33" customHeight="1">
      <c r="B46" s="563"/>
      <c r="C46" s="621"/>
      <c r="D46" s="645"/>
      <c r="E46" s="647"/>
      <c r="F46" s="586"/>
      <c r="G46" s="68">
        <v>4</v>
      </c>
      <c r="H46" s="172" t="s">
        <v>809</v>
      </c>
      <c r="I46" s="651"/>
      <c r="J46" s="586"/>
      <c r="K46" s="573"/>
      <c r="L46" s="457"/>
      <c r="M46" s="662"/>
      <c r="N46" s="559"/>
      <c r="O46" s="664"/>
      <c r="P46" s="666"/>
    </row>
    <row r="47" spans="2:16" ht="22.5" customHeight="1">
      <c r="B47" s="563"/>
      <c r="C47" s="621"/>
      <c r="D47" s="645"/>
      <c r="E47" s="647"/>
      <c r="F47" s="586"/>
      <c r="G47" s="68">
        <v>5</v>
      </c>
      <c r="H47" s="179"/>
      <c r="I47" s="651"/>
      <c r="J47" s="586"/>
      <c r="K47" s="573"/>
      <c r="L47" s="457"/>
      <c r="M47" s="662"/>
      <c r="N47" s="559"/>
      <c r="O47" s="664"/>
      <c r="P47" s="666"/>
    </row>
    <row r="48" spans="2:16" ht="22.5" customHeight="1">
      <c r="B48" s="563"/>
      <c r="C48" s="621"/>
      <c r="D48" s="645"/>
      <c r="E48" s="647"/>
      <c r="F48" s="586"/>
      <c r="G48" s="68">
        <v>6</v>
      </c>
      <c r="H48" s="180"/>
      <c r="I48" s="651"/>
      <c r="J48" s="586"/>
      <c r="K48" s="573"/>
      <c r="L48" s="457"/>
      <c r="M48" s="662"/>
      <c r="N48" s="559"/>
      <c r="O48" s="664"/>
      <c r="P48" s="666"/>
    </row>
    <row r="49" spans="2:16" ht="22.5" customHeight="1">
      <c r="B49" s="563"/>
      <c r="C49" s="621"/>
      <c r="D49" s="645"/>
      <c r="E49" s="647"/>
      <c r="F49" s="586"/>
      <c r="G49" s="68">
        <v>7</v>
      </c>
      <c r="H49" s="172"/>
      <c r="I49" s="651"/>
      <c r="J49" s="586"/>
      <c r="K49" s="573"/>
      <c r="L49" s="457"/>
      <c r="M49" s="662"/>
      <c r="N49" s="559"/>
      <c r="O49" s="664"/>
      <c r="P49" s="666"/>
    </row>
    <row r="50" spans="2:16" ht="22.5" customHeight="1">
      <c r="B50" s="564"/>
      <c r="C50" s="622"/>
      <c r="D50" s="646"/>
      <c r="E50" s="648"/>
      <c r="F50" s="587"/>
      <c r="G50" s="69">
        <v>8</v>
      </c>
      <c r="H50" s="178"/>
      <c r="I50" s="652"/>
      <c r="J50" s="587"/>
      <c r="K50" s="592"/>
      <c r="L50" s="457"/>
      <c r="M50" s="662"/>
      <c r="N50" s="559"/>
      <c r="O50" s="664"/>
      <c r="P50" s="666"/>
    </row>
    <row r="51" spans="2:16" ht="102" customHeight="1">
      <c r="B51" s="562" t="str">
        <f>+LEFT(C51,3)</f>
        <v>7.2</v>
      </c>
      <c r="C51" s="568" t="s">
        <v>270</v>
      </c>
      <c r="D51" s="582" t="s">
        <v>271</v>
      </c>
      <c r="E51" s="640" t="s">
        <v>742</v>
      </c>
      <c r="F51" s="585">
        <v>3</v>
      </c>
      <c r="G51" s="70">
        <v>1</v>
      </c>
      <c r="H51" s="171" t="s">
        <v>893</v>
      </c>
      <c r="I51" s="670" t="s">
        <v>810</v>
      </c>
      <c r="J51" s="585">
        <v>3</v>
      </c>
      <c r="K51" s="572" t="str">
        <f>+IF(OR(ISBLANK(F51),ISBLANK(J51)),"",IF(OR(AND(F51=1,J51=1),AND(F51=1,J51=2),AND(F51=1,J51=3)),"Deficiencia de control mayor (diseño y ejecución)",IF(OR(AND(F51=2,J51=2),AND(F51=3,J51=1),AND(F51=3,J51=2),AND(F51=2,J51=1)),"Deficiencia de control (diseño o ejecución)",IF(AND(F51=2,J51=3),"Oportunidad de mejora","Mantenimiento del control"))))</f>
        <v>Mantenimiento del control</v>
      </c>
      <c r="L51" s="457">
        <f>+IF(K51="",75,IF(K51="Deficiencia de control mayor (diseño y ejecución)",80,IF(K51="Deficiencia de control (diseño o ejecución)",100,IF(K51="Oportunidad de mejora",120,140))))</f>
        <v>140</v>
      </c>
      <c r="M51" s="662">
        <v>2.1456</v>
      </c>
      <c r="N51" s="559">
        <f>+L51+M51</f>
        <v>142.1456</v>
      </c>
      <c r="O51" s="664"/>
      <c r="P51" s="666"/>
    </row>
    <row r="52" spans="2:16" ht="93" customHeight="1">
      <c r="B52" s="563"/>
      <c r="C52" s="569"/>
      <c r="D52" s="583"/>
      <c r="E52" s="586"/>
      <c r="F52" s="586"/>
      <c r="G52" s="68">
        <v>2</v>
      </c>
      <c r="H52" s="172" t="s">
        <v>743</v>
      </c>
      <c r="I52" s="668"/>
      <c r="J52" s="586"/>
      <c r="K52" s="573"/>
      <c r="L52" s="457"/>
      <c r="M52" s="662"/>
      <c r="N52" s="559"/>
      <c r="O52" s="664"/>
      <c r="P52" s="666"/>
    </row>
    <row r="53" spans="2:16" ht="38.25" customHeight="1">
      <c r="B53" s="563"/>
      <c r="C53" s="569"/>
      <c r="D53" s="583"/>
      <c r="E53" s="586"/>
      <c r="F53" s="586"/>
      <c r="G53" s="68">
        <v>3</v>
      </c>
      <c r="H53" s="172"/>
      <c r="I53" s="668"/>
      <c r="J53" s="586"/>
      <c r="K53" s="573"/>
      <c r="L53" s="457"/>
      <c r="M53" s="662"/>
      <c r="N53" s="559"/>
      <c r="O53" s="664"/>
      <c r="P53" s="666"/>
    </row>
    <row r="54" spans="2:16" ht="38.25" customHeight="1">
      <c r="B54" s="563"/>
      <c r="C54" s="569"/>
      <c r="D54" s="583"/>
      <c r="E54" s="586"/>
      <c r="F54" s="586"/>
      <c r="G54" s="68">
        <v>4</v>
      </c>
      <c r="H54" s="172"/>
      <c r="I54" s="668"/>
      <c r="J54" s="586"/>
      <c r="K54" s="573"/>
      <c r="L54" s="457"/>
      <c r="M54" s="662"/>
      <c r="N54" s="559"/>
      <c r="O54" s="664"/>
      <c r="P54" s="666"/>
    </row>
    <row r="55" spans="2:16" ht="38.25" customHeight="1">
      <c r="B55" s="563"/>
      <c r="C55" s="569"/>
      <c r="D55" s="583"/>
      <c r="E55" s="586"/>
      <c r="F55" s="586"/>
      <c r="G55" s="68">
        <v>5</v>
      </c>
      <c r="H55" s="172"/>
      <c r="I55" s="668"/>
      <c r="J55" s="586"/>
      <c r="K55" s="573"/>
      <c r="L55" s="457"/>
      <c r="M55" s="662"/>
      <c r="N55" s="559"/>
      <c r="O55" s="664"/>
      <c r="P55" s="666"/>
    </row>
    <row r="56" spans="2:16" ht="38.25" customHeight="1">
      <c r="B56" s="563"/>
      <c r="C56" s="569"/>
      <c r="D56" s="583"/>
      <c r="E56" s="586"/>
      <c r="F56" s="586"/>
      <c r="G56" s="68">
        <v>6</v>
      </c>
      <c r="H56" s="172"/>
      <c r="I56" s="668"/>
      <c r="J56" s="586"/>
      <c r="K56" s="573"/>
      <c r="L56" s="457"/>
      <c r="M56" s="662"/>
      <c r="N56" s="559"/>
      <c r="O56" s="664"/>
      <c r="P56" s="666"/>
    </row>
    <row r="57" spans="2:16" ht="38.25" customHeight="1">
      <c r="B57" s="563"/>
      <c r="C57" s="569"/>
      <c r="D57" s="583"/>
      <c r="E57" s="586"/>
      <c r="F57" s="586"/>
      <c r="G57" s="68">
        <v>7</v>
      </c>
      <c r="H57" s="172"/>
      <c r="I57" s="668"/>
      <c r="J57" s="586"/>
      <c r="K57" s="573"/>
      <c r="L57" s="457"/>
      <c r="M57" s="662"/>
      <c r="N57" s="559"/>
      <c r="O57" s="664"/>
      <c r="P57" s="666"/>
    </row>
    <row r="58" spans="2:16" ht="38.25" customHeight="1" thickBot="1">
      <c r="B58" s="564"/>
      <c r="C58" s="570"/>
      <c r="D58" s="584"/>
      <c r="E58" s="587"/>
      <c r="F58" s="587"/>
      <c r="G58" s="69">
        <v>8</v>
      </c>
      <c r="H58" s="181"/>
      <c r="I58" s="669"/>
      <c r="J58" s="587"/>
      <c r="K58" s="592"/>
      <c r="L58" s="457"/>
      <c r="M58" s="662"/>
      <c r="N58" s="559"/>
      <c r="O58" s="664"/>
      <c r="P58" s="666"/>
    </row>
    <row r="59" spans="2:16" ht="71.25" customHeight="1">
      <c r="B59" s="562" t="str">
        <f>+LEFT(C59,3)</f>
        <v>7.3</v>
      </c>
      <c r="C59" s="568" t="s">
        <v>272</v>
      </c>
      <c r="D59" s="582" t="s">
        <v>271</v>
      </c>
      <c r="E59" s="640" t="s">
        <v>744</v>
      </c>
      <c r="F59" s="585">
        <v>3</v>
      </c>
      <c r="G59" s="70">
        <v>1</v>
      </c>
      <c r="H59" s="171" t="s">
        <v>273</v>
      </c>
      <c r="I59" s="670" t="s">
        <v>849</v>
      </c>
      <c r="J59" s="585">
        <v>3</v>
      </c>
      <c r="K59" s="572" t="str">
        <f>+IF(OR(ISBLANK(F59),ISBLANK(J59)),"",IF(OR(AND(F59=1,J59=1),AND(F59=1,J59=2),AND(F59=1,J59=3)),"Deficiencia de control mayor (diseño y ejecución)",IF(OR(AND(F59=2,J59=2),AND(F59=3,J59=1),AND(F59=3,J59=2),AND(F59=2,J59=1)),"Deficiencia de control (diseño o ejecución)",IF(AND(F59=2,J59=3),"Oportunidad de mejora","Mantenimiento del control"))))</f>
        <v>Mantenimiento del control</v>
      </c>
      <c r="L59" s="457">
        <f>+IF(K59="",75,IF(K59="Deficiencia de control mayor (diseño y ejecución)",80,IF(K59="Deficiencia de control (diseño o ejecución)",100,IF(K59="Oportunidad de mejora",120,140))))</f>
        <v>140</v>
      </c>
      <c r="M59" s="662">
        <v>2.2364999999999999</v>
      </c>
      <c r="N59" s="559">
        <f>+L59+M59</f>
        <v>142.23650000000001</v>
      </c>
      <c r="O59" s="664"/>
      <c r="P59" s="666"/>
    </row>
    <row r="60" spans="2:16" ht="68.25" customHeight="1">
      <c r="B60" s="563"/>
      <c r="C60" s="569"/>
      <c r="D60" s="583"/>
      <c r="E60" s="586"/>
      <c r="F60" s="586"/>
      <c r="G60" s="68">
        <v>2</v>
      </c>
      <c r="H60" s="172" t="s">
        <v>745</v>
      </c>
      <c r="I60" s="668"/>
      <c r="J60" s="586"/>
      <c r="K60" s="573"/>
      <c r="L60" s="457"/>
      <c r="M60" s="662"/>
      <c r="N60" s="559"/>
      <c r="O60" s="664"/>
      <c r="P60" s="666"/>
    </row>
    <row r="61" spans="2:16" ht="16.5">
      <c r="B61" s="563"/>
      <c r="C61" s="569"/>
      <c r="D61" s="583"/>
      <c r="E61" s="586"/>
      <c r="F61" s="586"/>
      <c r="G61" s="68">
        <v>3</v>
      </c>
      <c r="H61" s="172"/>
      <c r="I61" s="668"/>
      <c r="J61" s="586"/>
      <c r="K61" s="573"/>
      <c r="L61" s="457"/>
      <c r="M61" s="662"/>
      <c r="N61" s="559"/>
      <c r="O61" s="664"/>
      <c r="P61" s="666"/>
    </row>
    <row r="62" spans="2:16" ht="27" customHeight="1">
      <c r="B62" s="563"/>
      <c r="C62" s="569"/>
      <c r="D62" s="583"/>
      <c r="E62" s="586"/>
      <c r="F62" s="586"/>
      <c r="G62" s="68">
        <v>4</v>
      </c>
      <c r="H62" s="172"/>
      <c r="I62" s="668"/>
      <c r="J62" s="586"/>
      <c r="K62" s="573"/>
      <c r="L62" s="457"/>
      <c r="M62" s="662"/>
      <c r="N62" s="559"/>
      <c r="O62" s="664"/>
      <c r="P62" s="666"/>
    </row>
    <row r="63" spans="2:16" ht="27" customHeight="1">
      <c r="B63" s="563"/>
      <c r="C63" s="569"/>
      <c r="D63" s="583"/>
      <c r="E63" s="586"/>
      <c r="F63" s="586"/>
      <c r="G63" s="68">
        <v>5</v>
      </c>
      <c r="H63" s="172"/>
      <c r="I63" s="668"/>
      <c r="J63" s="586"/>
      <c r="K63" s="573"/>
      <c r="L63" s="457"/>
      <c r="M63" s="662"/>
      <c r="N63" s="559"/>
      <c r="O63" s="664"/>
      <c r="P63" s="666"/>
    </row>
    <row r="64" spans="2:16" ht="27" customHeight="1">
      <c r="B64" s="563"/>
      <c r="C64" s="569"/>
      <c r="D64" s="583"/>
      <c r="E64" s="586"/>
      <c r="F64" s="586"/>
      <c r="G64" s="68">
        <v>6</v>
      </c>
      <c r="H64" s="172"/>
      <c r="I64" s="668"/>
      <c r="J64" s="586"/>
      <c r="K64" s="573"/>
      <c r="L64" s="457"/>
      <c r="M64" s="662"/>
      <c r="N64" s="559"/>
      <c r="O64" s="664"/>
      <c r="P64" s="666"/>
    </row>
    <row r="65" spans="2:16" ht="27" customHeight="1">
      <c r="B65" s="563"/>
      <c r="C65" s="569"/>
      <c r="D65" s="583"/>
      <c r="E65" s="586"/>
      <c r="F65" s="586"/>
      <c r="G65" s="68">
        <v>7</v>
      </c>
      <c r="H65" s="172"/>
      <c r="I65" s="668"/>
      <c r="J65" s="586"/>
      <c r="K65" s="573"/>
      <c r="L65" s="457"/>
      <c r="M65" s="662"/>
      <c r="N65" s="559"/>
      <c r="O65" s="664"/>
      <c r="P65" s="666"/>
    </row>
    <row r="66" spans="2:16" ht="27" customHeight="1" thickBot="1">
      <c r="B66" s="564"/>
      <c r="C66" s="570"/>
      <c r="D66" s="584"/>
      <c r="E66" s="587"/>
      <c r="F66" s="587"/>
      <c r="G66" s="69">
        <v>8</v>
      </c>
      <c r="H66" s="178"/>
      <c r="I66" s="669"/>
      <c r="J66" s="587"/>
      <c r="K66" s="592"/>
      <c r="L66" s="457"/>
      <c r="M66" s="662"/>
      <c r="N66" s="559"/>
      <c r="O66" s="664"/>
      <c r="P66" s="666"/>
    </row>
    <row r="67" spans="2:16" ht="66">
      <c r="B67" s="562" t="str">
        <f>+LEFT(C67,3)</f>
        <v>7.4</v>
      </c>
      <c r="C67" s="568" t="s">
        <v>274</v>
      </c>
      <c r="D67" s="582" t="s">
        <v>275</v>
      </c>
      <c r="E67" s="640" t="s">
        <v>276</v>
      </c>
      <c r="F67" s="585">
        <v>3</v>
      </c>
      <c r="G67" s="70">
        <v>1</v>
      </c>
      <c r="H67" s="171" t="s">
        <v>894</v>
      </c>
      <c r="I67" s="670" t="s">
        <v>850</v>
      </c>
      <c r="J67" s="585">
        <v>3</v>
      </c>
      <c r="K67" s="572" t="str">
        <f>+IF(OR(ISBLANK(F67),ISBLANK(J67)),"",IF(OR(AND(F67=1,J67=1),AND(F67=1,J67=2),AND(F67=1,J67=3)),"Deficiencia de control mayor (diseño y ejecución)",IF(OR(AND(F67=2,J67=2),AND(F67=3,J67=1),AND(F67=3,J67=2),AND(F67=2,J67=1)),"Deficiencia de control (diseño o ejecución)",IF(AND(F67=2,J67=3),"Oportunidad de mejora","Mantenimiento del control"))))</f>
        <v>Mantenimiento del control</v>
      </c>
      <c r="L67" s="457">
        <f>+IF(K67="",75,IF(K67="Deficiencia de control mayor (diseño y ejecución)",80,IF(K67="Deficiencia de control (diseño o ejecución)",100,IF(K67="Oportunidad de mejora",120,140))))</f>
        <v>140</v>
      </c>
      <c r="M67" s="662">
        <v>2.3896000000000002</v>
      </c>
      <c r="N67" s="559">
        <f>+L67+M67</f>
        <v>142.3896</v>
      </c>
      <c r="O67" s="664"/>
      <c r="P67" s="666"/>
    </row>
    <row r="68" spans="2:16" ht="87" customHeight="1">
      <c r="B68" s="563"/>
      <c r="C68" s="569"/>
      <c r="D68" s="583"/>
      <c r="E68" s="586"/>
      <c r="F68" s="586"/>
      <c r="G68" s="68">
        <v>2</v>
      </c>
      <c r="H68" s="172" t="s">
        <v>811</v>
      </c>
      <c r="I68" s="668"/>
      <c r="J68" s="586"/>
      <c r="K68" s="573"/>
      <c r="L68" s="457"/>
      <c r="M68" s="662"/>
      <c r="N68" s="559"/>
      <c r="O68" s="664"/>
      <c r="P68" s="666"/>
    </row>
    <row r="69" spans="2:16" ht="27" customHeight="1">
      <c r="B69" s="563"/>
      <c r="C69" s="569"/>
      <c r="D69" s="583"/>
      <c r="E69" s="586"/>
      <c r="F69" s="586"/>
      <c r="G69" s="68">
        <v>3</v>
      </c>
      <c r="H69" s="172" t="s">
        <v>896</v>
      </c>
      <c r="I69" s="668"/>
      <c r="J69" s="586"/>
      <c r="K69" s="573"/>
      <c r="L69" s="457"/>
      <c r="M69" s="662"/>
      <c r="N69" s="559"/>
      <c r="O69" s="664"/>
      <c r="P69" s="666"/>
    </row>
    <row r="70" spans="2:16" ht="27" customHeight="1">
      <c r="B70" s="563"/>
      <c r="C70" s="569"/>
      <c r="D70" s="583"/>
      <c r="E70" s="586"/>
      <c r="F70" s="586"/>
      <c r="G70" s="68">
        <v>4</v>
      </c>
      <c r="H70" s="173"/>
      <c r="I70" s="668"/>
      <c r="J70" s="586"/>
      <c r="K70" s="573"/>
      <c r="L70" s="457"/>
      <c r="M70" s="662"/>
      <c r="N70" s="559"/>
      <c r="O70" s="664"/>
      <c r="P70" s="666"/>
    </row>
    <row r="71" spans="2:16" ht="27" customHeight="1">
      <c r="B71" s="563"/>
      <c r="C71" s="569"/>
      <c r="D71" s="583"/>
      <c r="E71" s="586"/>
      <c r="F71" s="586"/>
      <c r="G71" s="68">
        <v>5</v>
      </c>
      <c r="H71" s="173"/>
      <c r="I71" s="668"/>
      <c r="J71" s="586"/>
      <c r="K71" s="573"/>
      <c r="L71" s="457"/>
      <c r="M71" s="662"/>
      <c r="N71" s="559"/>
      <c r="O71" s="664"/>
      <c r="P71" s="666"/>
    </row>
    <row r="72" spans="2:16" ht="27" customHeight="1">
      <c r="B72" s="563"/>
      <c r="C72" s="569"/>
      <c r="D72" s="583"/>
      <c r="E72" s="586"/>
      <c r="F72" s="586"/>
      <c r="G72" s="68">
        <v>6</v>
      </c>
      <c r="H72" s="173"/>
      <c r="I72" s="668"/>
      <c r="J72" s="586"/>
      <c r="K72" s="573"/>
      <c r="L72" s="457"/>
      <c r="M72" s="662"/>
      <c r="N72" s="559"/>
      <c r="O72" s="664"/>
      <c r="P72" s="666"/>
    </row>
    <row r="73" spans="2:16" ht="27" customHeight="1">
      <c r="B73" s="563"/>
      <c r="C73" s="569"/>
      <c r="D73" s="583"/>
      <c r="E73" s="586"/>
      <c r="F73" s="586"/>
      <c r="G73" s="68">
        <v>7</v>
      </c>
      <c r="H73" s="173"/>
      <c r="I73" s="668"/>
      <c r="J73" s="586"/>
      <c r="K73" s="573"/>
      <c r="L73" s="457"/>
      <c r="M73" s="662"/>
      <c r="N73" s="559"/>
      <c r="O73" s="664"/>
      <c r="P73" s="666"/>
    </row>
    <row r="74" spans="2:16" ht="27" customHeight="1" thickBot="1">
      <c r="B74" s="564"/>
      <c r="C74" s="570"/>
      <c r="D74" s="584"/>
      <c r="E74" s="587"/>
      <c r="F74" s="587"/>
      <c r="G74" s="69">
        <v>8</v>
      </c>
      <c r="H74" s="174"/>
      <c r="I74" s="669"/>
      <c r="J74" s="587"/>
      <c r="K74" s="592"/>
      <c r="L74" s="457"/>
      <c r="M74" s="662"/>
      <c r="N74" s="559"/>
      <c r="O74" s="664"/>
      <c r="P74" s="666"/>
    </row>
    <row r="75" spans="2:16" ht="99" customHeight="1">
      <c r="B75" s="562" t="str">
        <f>+LEFT(C75,3)</f>
        <v>7.5</v>
      </c>
      <c r="C75" s="568" t="s">
        <v>277</v>
      </c>
      <c r="D75" s="582" t="s">
        <v>278</v>
      </c>
      <c r="E75" s="614" t="s">
        <v>746</v>
      </c>
      <c r="F75" s="585">
        <v>3</v>
      </c>
      <c r="G75" s="70">
        <v>1</v>
      </c>
      <c r="H75" s="171" t="s">
        <v>895</v>
      </c>
      <c r="I75" s="670" t="s">
        <v>850</v>
      </c>
      <c r="J75" s="585">
        <v>3</v>
      </c>
      <c r="K75" s="572" t="str">
        <f>+IF(OR(ISBLANK(F75),ISBLANK(J75)),"",IF(OR(AND(F75=1,J75=1),AND(F75=1,J75=2),AND(F75=1,J75=3)),"Deficiencia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457">
        <f>+IF(K75="",75,IF(K75="Deficiencia de control mayor (diseño y ejecución)",80,IF(K75="Deficiencia de control (diseño o ejecución)",100,IF(K75="Oportunidad de mejora",120,140))))</f>
        <v>140</v>
      </c>
      <c r="M75" s="662">
        <v>2.4563000000000001</v>
      </c>
      <c r="N75" s="559">
        <f>+L75+M75</f>
        <v>142.4563</v>
      </c>
      <c r="O75" s="664"/>
      <c r="P75" s="666"/>
    </row>
    <row r="76" spans="2:16" ht="83.25" customHeight="1">
      <c r="B76" s="563"/>
      <c r="C76" s="569"/>
      <c r="D76" s="583"/>
      <c r="E76" s="615"/>
      <c r="F76" s="586"/>
      <c r="G76" s="68">
        <v>2</v>
      </c>
      <c r="H76" s="172" t="s">
        <v>812</v>
      </c>
      <c r="I76" s="668"/>
      <c r="J76" s="586"/>
      <c r="K76" s="573"/>
      <c r="L76" s="457"/>
      <c r="M76" s="662"/>
      <c r="N76" s="559"/>
      <c r="O76" s="664"/>
      <c r="P76" s="666"/>
    </row>
    <row r="77" spans="2:16" ht="34.5" customHeight="1">
      <c r="B77" s="563"/>
      <c r="C77" s="569"/>
      <c r="D77" s="583"/>
      <c r="E77" s="615"/>
      <c r="F77" s="586"/>
      <c r="G77" s="68">
        <v>3</v>
      </c>
      <c r="H77" s="98" t="s">
        <v>896</v>
      </c>
      <c r="I77" s="668"/>
      <c r="J77" s="586"/>
      <c r="K77" s="573"/>
      <c r="L77" s="457"/>
      <c r="M77" s="662"/>
      <c r="N77" s="559"/>
      <c r="O77" s="664"/>
      <c r="P77" s="666"/>
    </row>
    <row r="78" spans="2:16" ht="27.75" customHeight="1">
      <c r="B78" s="563"/>
      <c r="C78" s="569"/>
      <c r="D78" s="583"/>
      <c r="E78" s="615"/>
      <c r="F78" s="586"/>
      <c r="G78" s="68">
        <v>4</v>
      </c>
      <c r="H78" s="172" t="s">
        <v>747</v>
      </c>
      <c r="I78" s="668"/>
      <c r="J78" s="586"/>
      <c r="K78" s="573"/>
      <c r="L78" s="457"/>
      <c r="M78" s="662"/>
      <c r="N78" s="559"/>
      <c r="O78" s="664"/>
      <c r="P78" s="666"/>
    </row>
    <row r="79" spans="2:16" ht="27.75" customHeight="1">
      <c r="B79" s="563"/>
      <c r="C79" s="569"/>
      <c r="D79" s="583"/>
      <c r="E79" s="615"/>
      <c r="F79" s="586"/>
      <c r="G79" s="68">
        <v>5</v>
      </c>
      <c r="H79" s="68"/>
      <c r="I79" s="668"/>
      <c r="J79" s="586"/>
      <c r="K79" s="573"/>
      <c r="L79" s="457"/>
      <c r="M79" s="662"/>
      <c r="N79" s="559"/>
      <c r="O79" s="664"/>
      <c r="P79" s="666"/>
    </row>
    <row r="80" spans="2:16" ht="27.75" customHeight="1">
      <c r="B80" s="563"/>
      <c r="C80" s="569"/>
      <c r="D80" s="583"/>
      <c r="E80" s="615"/>
      <c r="F80" s="586"/>
      <c r="G80" s="68">
        <v>6</v>
      </c>
      <c r="H80" s="68"/>
      <c r="I80" s="668"/>
      <c r="J80" s="586"/>
      <c r="K80" s="573"/>
      <c r="L80" s="457"/>
      <c r="M80" s="662"/>
      <c r="N80" s="559"/>
      <c r="O80" s="664"/>
      <c r="P80" s="666"/>
    </row>
    <row r="81" spans="2:16" ht="27.75" customHeight="1">
      <c r="B81" s="563"/>
      <c r="C81" s="569"/>
      <c r="D81" s="583"/>
      <c r="E81" s="615"/>
      <c r="F81" s="586"/>
      <c r="G81" s="68">
        <v>7</v>
      </c>
      <c r="H81" s="68"/>
      <c r="I81" s="668"/>
      <c r="J81" s="586"/>
      <c r="K81" s="573"/>
      <c r="L81" s="457"/>
      <c r="M81" s="662"/>
      <c r="N81" s="559"/>
      <c r="O81" s="664"/>
      <c r="P81" s="666"/>
    </row>
    <row r="82" spans="2:16" ht="27.75" customHeight="1" thickBot="1">
      <c r="B82" s="564"/>
      <c r="C82" s="570"/>
      <c r="D82" s="584"/>
      <c r="E82" s="616"/>
      <c r="F82" s="587"/>
      <c r="G82" s="69">
        <v>8</v>
      </c>
      <c r="H82" s="69"/>
      <c r="I82" s="669"/>
      <c r="J82" s="587"/>
      <c r="K82" s="592"/>
      <c r="L82" s="457"/>
      <c r="M82" s="662"/>
      <c r="N82" s="559"/>
      <c r="O82" s="664"/>
      <c r="P82" s="666"/>
    </row>
    <row r="83" spans="2:16" ht="22.5" customHeight="1">
      <c r="B83" s="588"/>
      <c r="C83" s="588" t="s">
        <v>279</v>
      </c>
      <c r="D83" s="607" t="s">
        <v>8</v>
      </c>
      <c r="E83" s="633" t="s">
        <v>251</v>
      </c>
      <c r="F83" s="627" t="s">
        <v>252</v>
      </c>
      <c r="G83" s="638" t="s">
        <v>115</v>
      </c>
      <c r="H83" s="639"/>
      <c r="I83" s="639"/>
      <c r="J83" s="627" t="s">
        <v>253</v>
      </c>
      <c r="K83" s="594" t="s">
        <v>150</v>
      </c>
      <c r="L83" s="660"/>
      <c r="M83" s="660"/>
      <c r="N83" s="560"/>
      <c r="O83" s="663"/>
      <c r="P83" s="665"/>
    </row>
    <row r="84" spans="2:16" ht="22.5" customHeight="1">
      <c r="B84" s="589"/>
      <c r="C84" s="589"/>
      <c r="D84" s="612"/>
      <c r="E84" s="649"/>
      <c r="F84" s="627"/>
      <c r="G84" s="636" t="s">
        <v>13</v>
      </c>
      <c r="H84" s="633" t="s">
        <v>151</v>
      </c>
      <c r="I84" s="633" t="s">
        <v>254</v>
      </c>
      <c r="J84" s="627"/>
      <c r="K84" s="594"/>
      <c r="L84" s="660"/>
      <c r="M84" s="660"/>
      <c r="N84" s="560"/>
      <c r="O84" s="663"/>
      <c r="P84" s="665"/>
    </row>
    <row r="85" spans="2:16" ht="72" customHeight="1" thickBot="1">
      <c r="B85" s="590"/>
      <c r="C85" s="590"/>
      <c r="D85" s="608"/>
      <c r="E85" s="634"/>
      <c r="F85" s="628"/>
      <c r="G85" s="637"/>
      <c r="H85" s="671"/>
      <c r="I85" s="634"/>
      <c r="J85" s="628"/>
      <c r="K85" s="595"/>
      <c r="L85" s="660"/>
      <c r="M85" s="660"/>
      <c r="N85" s="560"/>
      <c r="O85" s="663"/>
      <c r="P85" s="665"/>
    </row>
    <row r="86" spans="2:16" ht="35.25" customHeight="1">
      <c r="B86" s="562" t="str">
        <f>+LEFT(C86,3)</f>
        <v>8.1</v>
      </c>
      <c r="C86" s="568" t="s">
        <v>280</v>
      </c>
      <c r="D86" s="582" t="s">
        <v>256</v>
      </c>
      <c r="E86" s="640" t="s">
        <v>748</v>
      </c>
      <c r="F86" s="585">
        <v>3</v>
      </c>
      <c r="G86" s="70">
        <v>1</v>
      </c>
      <c r="H86" s="171" t="s">
        <v>281</v>
      </c>
      <c r="I86" s="670" t="s">
        <v>925</v>
      </c>
      <c r="J86" s="629">
        <v>2</v>
      </c>
      <c r="K86" s="572" t="str">
        <f>+IF(OR(ISBLANK(F86),ISBLANK(J86)),"",IF(OR(AND(F86=1,J86=1),AND(F86=1,J86=2),AND(F86=1,J86=3)),"Deficiencia de control mayor (diseño y ejecución)",IF(OR(AND(F86=2,J86=2),AND(F86=3,J86=1),AND(F86=3,J86=2),AND(F86=2,J86=1)),"Deficiencia de control (diseño o ejecución)",IF(AND(F86=2,J86=3),"Oportunidad de mejora","Mantenimiento del control"))))</f>
        <v>Deficiencia de control (diseño o ejecución)</v>
      </c>
      <c r="L86" s="457">
        <f>+IF(K86="",75,IF(K86="Deficiencia de control mayor (diseño y ejecución)",80,IF(K86="Deficiencia de control (diseño o ejecución)",100,IF(K86="Oportunidad de mejora",120,140))))</f>
        <v>100</v>
      </c>
      <c r="M86" s="662">
        <v>2.5457999999999998</v>
      </c>
      <c r="N86" s="559">
        <f>+L86+M86</f>
        <v>102.5458</v>
      </c>
      <c r="O86" s="664"/>
      <c r="P86" s="666"/>
    </row>
    <row r="87" spans="2:16" ht="59.25" customHeight="1">
      <c r="B87" s="563"/>
      <c r="C87" s="569"/>
      <c r="D87" s="583"/>
      <c r="E87" s="586"/>
      <c r="F87" s="586"/>
      <c r="G87" s="68">
        <v>2</v>
      </c>
      <c r="H87" s="172" t="s">
        <v>282</v>
      </c>
      <c r="I87" s="668"/>
      <c r="J87" s="630"/>
      <c r="K87" s="573"/>
      <c r="L87" s="457"/>
      <c r="M87" s="662"/>
      <c r="N87" s="559"/>
      <c r="O87" s="664"/>
      <c r="P87" s="666"/>
    </row>
    <row r="88" spans="2:16" ht="28.5" customHeight="1">
      <c r="B88" s="563"/>
      <c r="C88" s="569"/>
      <c r="D88" s="583"/>
      <c r="E88" s="586"/>
      <c r="F88" s="586"/>
      <c r="G88" s="68">
        <v>3</v>
      </c>
      <c r="H88" s="172" t="s">
        <v>897</v>
      </c>
      <c r="I88" s="668"/>
      <c r="J88" s="630"/>
      <c r="K88" s="573"/>
      <c r="L88" s="457"/>
      <c r="M88" s="662"/>
      <c r="N88" s="559"/>
      <c r="O88" s="664"/>
      <c r="P88" s="666"/>
    </row>
    <row r="89" spans="2:16" ht="28.5" customHeight="1">
      <c r="B89" s="563"/>
      <c r="C89" s="569"/>
      <c r="D89" s="583"/>
      <c r="E89" s="586"/>
      <c r="F89" s="586"/>
      <c r="G89" s="68">
        <v>4</v>
      </c>
      <c r="H89" s="172"/>
      <c r="I89" s="668"/>
      <c r="J89" s="630"/>
      <c r="K89" s="573"/>
      <c r="L89" s="457"/>
      <c r="M89" s="662"/>
      <c r="N89" s="559"/>
      <c r="O89" s="664"/>
      <c r="P89" s="666"/>
    </row>
    <row r="90" spans="2:16" ht="28.5" customHeight="1">
      <c r="B90" s="563"/>
      <c r="C90" s="569"/>
      <c r="D90" s="583"/>
      <c r="E90" s="586"/>
      <c r="F90" s="586"/>
      <c r="G90" s="68">
        <v>5</v>
      </c>
      <c r="H90" s="172"/>
      <c r="I90" s="668"/>
      <c r="J90" s="630"/>
      <c r="K90" s="573"/>
      <c r="L90" s="457"/>
      <c r="M90" s="662"/>
      <c r="N90" s="559"/>
      <c r="O90" s="664"/>
      <c r="P90" s="666"/>
    </row>
    <row r="91" spans="2:16" ht="28.5" customHeight="1">
      <c r="B91" s="563"/>
      <c r="C91" s="569"/>
      <c r="D91" s="583"/>
      <c r="E91" s="586"/>
      <c r="F91" s="586"/>
      <c r="G91" s="68">
        <v>6</v>
      </c>
      <c r="H91" s="172"/>
      <c r="I91" s="668"/>
      <c r="J91" s="630"/>
      <c r="K91" s="573"/>
      <c r="L91" s="457"/>
      <c r="M91" s="662"/>
      <c r="N91" s="559"/>
      <c r="O91" s="664"/>
      <c r="P91" s="666"/>
    </row>
    <row r="92" spans="2:16" ht="28.5" customHeight="1">
      <c r="B92" s="563"/>
      <c r="C92" s="569"/>
      <c r="D92" s="583"/>
      <c r="E92" s="586"/>
      <c r="F92" s="586"/>
      <c r="G92" s="68">
        <v>7</v>
      </c>
      <c r="H92" s="172"/>
      <c r="I92" s="668"/>
      <c r="J92" s="630"/>
      <c r="K92" s="573"/>
      <c r="L92" s="457"/>
      <c r="M92" s="662"/>
      <c r="N92" s="559"/>
      <c r="O92" s="664"/>
      <c r="P92" s="666"/>
    </row>
    <row r="93" spans="2:16" ht="28.5" customHeight="1" thickBot="1">
      <c r="B93" s="564"/>
      <c r="C93" s="570"/>
      <c r="D93" s="584"/>
      <c r="E93" s="587"/>
      <c r="F93" s="587"/>
      <c r="G93" s="69">
        <v>8</v>
      </c>
      <c r="H93" s="178"/>
      <c r="I93" s="669"/>
      <c r="J93" s="631"/>
      <c r="K93" s="592"/>
      <c r="L93" s="457"/>
      <c r="M93" s="662"/>
      <c r="N93" s="559"/>
      <c r="O93" s="664"/>
      <c r="P93" s="666"/>
    </row>
    <row r="94" spans="2:16" ht="41.25" customHeight="1">
      <c r="B94" s="562" t="str">
        <f>+LEFT(C94,3)</f>
        <v>8.2</v>
      </c>
      <c r="C94" s="568" t="s">
        <v>283</v>
      </c>
      <c r="D94" s="582" t="s">
        <v>284</v>
      </c>
      <c r="E94" s="657" t="s">
        <v>748</v>
      </c>
      <c r="F94" s="585">
        <v>3</v>
      </c>
      <c r="G94" s="70">
        <v>1</v>
      </c>
      <c r="H94" s="171" t="s">
        <v>281</v>
      </c>
      <c r="I94" s="670" t="s">
        <v>926</v>
      </c>
      <c r="J94" s="629">
        <v>2</v>
      </c>
      <c r="K94" s="572" t="str">
        <f>+IF(OR(ISBLANK(F94),ISBLANK(J94)),"",IF(OR(AND(F94=1,J94=1),AND(F94=1,J94=2),AND(F94=1,J94=3)),"Deficiencia de control mayor (diseño y ejecución)",IF(OR(AND(F94=2,J94=2),AND(F94=3,J94=1),AND(F94=3,J94=2),AND(F94=2,J94=1)),"Deficiencia de control (diseño o ejecución)",IF(AND(F94=2,J94=3),"Oportunidad de mejora","Mantenimiento del control"))))</f>
        <v>Deficiencia de control (diseño o ejecución)</v>
      </c>
      <c r="L94" s="457">
        <f>+IF(K94="",75,IF(K94="Deficiencia de control mayor (diseño y ejecución)",80,IF(K94="Deficiencia de control (diseño o ejecución)",100,IF(K94="Oportunidad de mejora",120,140))))</f>
        <v>100</v>
      </c>
      <c r="M94" s="662">
        <v>2.6320999999999999</v>
      </c>
      <c r="N94" s="559">
        <f>+L94+M94</f>
        <v>102.63209999999999</v>
      </c>
      <c r="O94" s="664"/>
      <c r="P94" s="666"/>
    </row>
    <row r="95" spans="2:16" ht="57" customHeight="1">
      <c r="B95" s="563"/>
      <c r="C95" s="569"/>
      <c r="D95" s="583"/>
      <c r="E95" s="658"/>
      <c r="F95" s="586"/>
      <c r="G95" s="68">
        <v>2</v>
      </c>
      <c r="H95" s="172" t="s">
        <v>282</v>
      </c>
      <c r="I95" s="668"/>
      <c r="J95" s="630"/>
      <c r="K95" s="573"/>
      <c r="L95" s="457"/>
      <c r="M95" s="662"/>
      <c r="N95" s="559"/>
      <c r="O95" s="664"/>
      <c r="P95" s="666"/>
    </row>
    <row r="96" spans="2:16" ht="28.5" customHeight="1">
      <c r="B96" s="563"/>
      <c r="C96" s="569"/>
      <c r="D96" s="583"/>
      <c r="E96" s="658"/>
      <c r="F96" s="586"/>
      <c r="G96" s="68">
        <v>3</v>
      </c>
      <c r="H96" s="172"/>
      <c r="I96" s="668"/>
      <c r="J96" s="630"/>
      <c r="K96" s="573"/>
      <c r="L96" s="457"/>
      <c r="M96" s="662"/>
      <c r="N96" s="559"/>
      <c r="O96" s="664"/>
      <c r="P96" s="666"/>
    </row>
    <row r="97" spans="2:16" ht="28.5" customHeight="1">
      <c r="B97" s="563"/>
      <c r="C97" s="569"/>
      <c r="D97" s="583"/>
      <c r="E97" s="658"/>
      <c r="F97" s="586"/>
      <c r="G97" s="68">
        <v>4</v>
      </c>
      <c r="H97" s="172"/>
      <c r="I97" s="668"/>
      <c r="J97" s="630"/>
      <c r="K97" s="573"/>
      <c r="L97" s="457"/>
      <c r="M97" s="662"/>
      <c r="N97" s="559"/>
      <c r="O97" s="664"/>
      <c r="P97" s="666"/>
    </row>
    <row r="98" spans="2:16" ht="28.5" customHeight="1">
      <c r="B98" s="563"/>
      <c r="C98" s="569"/>
      <c r="D98" s="583"/>
      <c r="E98" s="658"/>
      <c r="F98" s="586"/>
      <c r="G98" s="68">
        <v>5</v>
      </c>
      <c r="H98" s="172"/>
      <c r="I98" s="668"/>
      <c r="J98" s="630"/>
      <c r="K98" s="573"/>
      <c r="L98" s="457"/>
      <c r="M98" s="662"/>
      <c r="N98" s="559"/>
      <c r="O98" s="664"/>
      <c r="P98" s="666"/>
    </row>
    <row r="99" spans="2:16" ht="28.5" customHeight="1">
      <c r="B99" s="563"/>
      <c r="C99" s="569"/>
      <c r="D99" s="583"/>
      <c r="E99" s="658"/>
      <c r="F99" s="586"/>
      <c r="G99" s="68">
        <v>6</v>
      </c>
      <c r="H99" s="172"/>
      <c r="I99" s="668"/>
      <c r="J99" s="630"/>
      <c r="K99" s="573"/>
      <c r="L99" s="457"/>
      <c r="M99" s="662"/>
      <c r="N99" s="559"/>
      <c r="O99" s="664"/>
      <c r="P99" s="666"/>
    </row>
    <row r="100" spans="2:16" ht="28.5" customHeight="1">
      <c r="B100" s="563"/>
      <c r="C100" s="569"/>
      <c r="D100" s="583"/>
      <c r="E100" s="658"/>
      <c r="F100" s="586"/>
      <c r="G100" s="68">
        <v>7</v>
      </c>
      <c r="H100" s="172"/>
      <c r="I100" s="668"/>
      <c r="J100" s="630"/>
      <c r="K100" s="573"/>
      <c r="L100" s="457"/>
      <c r="M100" s="662"/>
      <c r="N100" s="559"/>
      <c r="O100" s="664"/>
      <c r="P100" s="666"/>
    </row>
    <row r="101" spans="2:16" ht="28.5" customHeight="1" thickBot="1">
      <c r="B101" s="564"/>
      <c r="C101" s="570"/>
      <c r="D101" s="584"/>
      <c r="E101" s="659"/>
      <c r="F101" s="587"/>
      <c r="G101" s="69">
        <v>8</v>
      </c>
      <c r="H101" s="178"/>
      <c r="I101" s="669"/>
      <c r="J101" s="631"/>
      <c r="K101" s="592"/>
      <c r="L101" s="457"/>
      <c r="M101" s="662"/>
      <c r="N101" s="559"/>
      <c r="O101" s="664"/>
      <c r="P101" s="666"/>
    </row>
    <row r="102" spans="2:16" ht="83.25" customHeight="1">
      <c r="B102" s="562" t="str">
        <f>+LEFT(C102,3)</f>
        <v>8.3</v>
      </c>
      <c r="C102" s="568" t="s">
        <v>285</v>
      </c>
      <c r="D102" s="582" t="s">
        <v>286</v>
      </c>
      <c r="E102" s="640" t="s">
        <v>749</v>
      </c>
      <c r="F102" s="585">
        <v>3</v>
      </c>
      <c r="G102" s="70">
        <v>1</v>
      </c>
      <c r="H102" s="171" t="s">
        <v>287</v>
      </c>
      <c r="I102" s="670" t="s">
        <v>750</v>
      </c>
      <c r="J102" s="585">
        <v>3</v>
      </c>
      <c r="K102" s="572" t="str">
        <f>+IF(OR(ISBLANK(F102),ISBLANK(J102)),"",IF(OR(AND(F102=1,J102=1),AND(F102=1,J102=2),AND(F102=1,J102=3)),"Deficiencia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Mantenimiento del control</v>
      </c>
      <c r="L102" s="457">
        <f>+IF(K102="",75,IF(K102="Deficiencia de control mayor (diseño y ejecución)",80,IF(K102="Deficiencia de control (diseño o ejecución)",100,IF(K102="Oportunidad de mejora",120,140))))</f>
        <v>140</v>
      </c>
      <c r="M102" s="662">
        <v>2.7456</v>
      </c>
      <c r="N102" s="559">
        <f>+L102+M102</f>
        <v>142.7456</v>
      </c>
      <c r="O102" s="664"/>
      <c r="P102" s="666"/>
    </row>
    <row r="103" spans="2:16" ht="38.25" customHeight="1">
      <c r="B103" s="563"/>
      <c r="C103" s="569"/>
      <c r="D103" s="583"/>
      <c r="E103" s="586"/>
      <c r="F103" s="586"/>
      <c r="G103" s="68">
        <v>2</v>
      </c>
      <c r="H103" s="172" t="s">
        <v>288</v>
      </c>
      <c r="I103" s="668"/>
      <c r="J103" s="586"/>
      <c r="K103" s="573"/>
      <c r="L103" s="457"/>
      <c r="M103" s="662"/>
      <c r="N103" s="559"/>
      <c r="O103" s="664"/>
      <c r="P103" s="666"/>
    </row>
    <row r="104" spans="2:16" ht="28.5" customHeight="1">
      <c r="B104" s="563"/>
      <c r="C104" s="569"/>
      <c r="D104" s="583"/>
      <c r="E104" s="586"/>
      <c r="F104" s="586"/>
      <c r="G104" s="68">
        <v>3</v>
      </c>
      <c r="H104" s="172"/>
      <c r="I104" s="668"/>
      <c r="J104" s="586"/>
      <c r="K104" s="573"/>
      <c r="L104" s="457"/>
      <c r="M104" s="662"/>
      <c r="N104" s="559"/>
      <c r="O104" s="664"/>
      <c r="P104" s="666"/>
    </row>
    <row r="105" spans="2:16" ht="28.5" customHeight="1">
      <c r="B105" s="563"/>
      <c r="C105" s="569"/>
      <c r="D105" s="583"/>
      <c r="E105" s="586"/>
      <c r="F105" s="586"/>
      <c r="G105" s="68">
        <v>4</v>
      </c>
      <c r="H105" s="172"/>
      <c r="I105" s="668"/>
      <c r="J105" s="586"/>
      <c r="K105" s="573"/>
      <c r="L105" s="457"/>
      <c r="M105" s="662"/>
      <c r="N105" s="559"/>
      <c r="O105" s="664"/>
      <c r="P105" s="666"/>
    </row>
    <row r="106" spans="2:16" ht="28.5" customHeight="1">
      <c r="B106" s="563"/>
      <c r="C106" s="569"/>
      <c r="D106" s="583"/>
      <c r="E106" s="586"/>
      <c r="F106" s="586"/>
      <c r="G106" s="68">
        <v>5</v>
      </c>
      <c r="H106" s="172"/>
      <c r="I106" s="668"/>
      <c r="J106" s="586"/>
      <c r="K106" s="573"/>
      <c r="L106" s="457"/>
      <c r="M106" s="662"/>
      <c r="N106" s="559"/>
      <c r="O106" s="664"/>
      <c r="P106" s="666"/>
    </row>
    <row r="107" spans="2:16" ht="28.5" customHeight="1">
      <c r="B107" s="563"/>
      <c r="C107" s="569"/>
      <c r="D107" s="583"/>
      <c r="E107" s="586"/>
      <c r="F107" s="586"/>
      <c r="G107" s="68">
        <v>6</v>
      </c>
      <c r="H107" s="172"/>
      <c r="I107" s="668"/>
      <c r="J107" s="586"/>
      <c r="K107" s="573"/>
      <c r="L107" s="457"/>
      <c r="M107" s="662"/>
      <c r="N107" s="559"/>
      <c r="O107" s="664"/>
      <c r="P107" s="666"/>
    </row>
    <row r="108" spans="2:16" ht="28.5" customHeight="1">
      <c r="B108" s="563"/>
      <c r="C108" s="569"/>
      <c r="D108" s="583"/>
      <c r="E108" s="586"/>
      <c r="F108" s="586"/>
      <c r="G108" s="68">
        <v>7</v>
      </c>
      <c r="H108" s="172"/>
      <c r="I108" s="668"/>
      <c r="J108" s="586"/>
      <c r="K108" s="573"/>
      <c r="L108" s="457"/>
      <c r="M108" s="662"/>
      <c r="N108" s="559"/>
      <c r="O108" s="664"/>
      <c r="P108" s="666"/>
    </row>
    <row r="109" spans="2:16" ht="28.5" customHeight="1" thickBot="1">
      <c r="B109" s="564"/>
      <c r="C109" s="570"/>
      <c r="D109" s="584"/>
      <c r="E109" s="587"/>
      <c r="F109" s="587"/>
      <c r="G109" s="69">
        <v>8</v>
      </c>
      <c r="H109" s="178"/>
      <c r="I109" s="669"/>
      <c r="J109" s="587"/>
      <c r="K109" s="592"/>
      <c r="L109" s="457"/>
      <c r="M109" s="662"/>
      <c r="N109" s="559"/>
      <c r="O109" s="664"/>
      <c r="P109" s="666"/>
    </row>
    <row r="110" spans="2:16" ht="99.75" customHeight="1">
      <c r="B110" s="562" t="str">
        <f>+LEFT(C110,3)</f>
        <v>8.4</v>
      </c>
      <c r="C110" s="568" t="s">
        <v>289</v>
      </c>
      <c r="D110" s="582" t="s">
        <v>284</v>
      </c>
      <c r="E110" s="640" t="s">
        <v>290</v>
      </c>
      <c r="F110" s="585">
        <v>3</v>
      </c>
      <c r="G110" s="70">
        <v>1</v>
      </c>
      <c r="H110" s="171" t="s">
        <v>291</v>
      </c>
      <c r="I110" s="672" t="s">
        <v>878</v>
      </c>
      <c r="J110" s="629">
        <v>2</v>
      </c>
      <c r="K110" s="572" t="str">
        <f>+IF(OR(ISBLANK(F110),ISBLANK(J110)),"",IF(OR(AND(F110=1,J110=1),AND(F110=1,J110=2),AND(F110=1,J110=3)),"Deficiencia de control mayor (diseño y ejecución)",IF(OR(AND(F110=2,J110=2),AND(F110=3,J110=1),AND(F110=3,J110=2),AND(F110=2,J110=1)),"Deficiencia de control (diseño o ejecución)",IF(AND(F110=2,J110=3),"Oportunidad de mejora","Mantenimiento del control"))))</f>
        <v>Deficiencia de control (diseño o ejecución)</v>
      </c>
      <c r="L110" s="457">
        <f>+IF(K110="",75,IF(K110="Deficiencia de control mayor (diseño y ejecución)",80,IF(K110="Deficiencia de control (diseño o ejecución)",100,IF(K110="Oportunidad de mejora",120,140))))</f>
        <v>100</v>
      </c>
      <c r="M110" s="662">
        <v>2.8744999999999998</v>
      </c>
      <c r="N110" s="559">
        <f>+L110+M110</f>
        <v>102.8745</v>
      </c>
      <c r="O110" s="664"/>
      <c r="P110" s="666"/>
    </row>
    <row r="111" spans="2:16" ht="80.25" customHeight="1">
      <c r="B111" s="563"/>
      <c r="C111" s="569"/>
      <c r="D111" s="583"/>
      <c r="E111" s="586"/>
      <c r="F111" s="586"/>
      <c r="G111" s="68">
        <v>2</v>
      </c>
      <c r="H111" s="172" t="s">
        <v>751</v>
      </c>
      <c r="I111" s="668"/>
      <c r="J111" s="630"/>
      <c r="K111" s="573"/>
      <c r="L111" s="457"/>
      <c r="M111" s="662"/>
      <c r="N111" s="559"/>
      <c r="O111" s="664"/>
      <c r="P111" s="666"/>
    </row>
    <row r="112" spans="2:16" ht="30" customHeight="1">
      <c r="B112" s="563"/>
      <c r="C112" s="569"/>
      <c r="D112" s="583"/>
      <c r="E112" s="586"/>
      <c r="F112" s="586"/>
      <c r="G112" s="68">
        <v>3</v>
      </c>
      <c r="H112" s="68"/>
      <c r="I112" s="668"/>
      <c r="J112" s="630"/>
      <c r="K112" s="573"/>
      <c r="L112" s="457"/>
      <c r="M112" s="662"/>
      <c r="N112" s="559"/>
      <c r="O112" s="664"/>
      <c r="P112" s="666"/>
    </row>
    <row r="113" spans="2:16" ht="30" customHeight="1">
      <c r="B113" s="563"/>
      <c r="C113" s="569"/>
      <c r="D113" s="583"/>
      <c r="E113" s="586"/>
      <c r="F113" s="586"/>
      <c r="G113" s="68">
        <v>4</v>
      </c>
      <c r="H113" s="68"/>
      <c r="I113" s="668"/>
      <c r="J113" s="630"/>
      <c r="K113" s="573"/>
      <c r="L113" s="457"/>
      <c r="M113" s="662"/>
      <c r="N113" s="559"/>
      <c r="O113" s="664"/>
      <c r="P113" s="666"/>
    </row>
    <row r="114" spans="2:16" ht="30" customHeight="1">
      <c r="B114" s="563"/>
      <c r="C114" s="569"/>
      <c r="D114" s="583"/>
      <c r="E114" s="586"/>
      <c r="F114" s="586"/>
      <c r="G114" s="68">
        <v>5</v>
      </c>
      <c r="H114" s="68"/>
      <c r="I114" s="668"/>
      <c r="J114" s="630"/>
      <c r="K114" s="573"/>
      <c r="L114" s="457"/>
      <c r="M114" s="662"/>
      <c r="N114" s="559"/>
      <c r="O114" s="664"/>
      <c r="P114" s="666"/>
    </row>
    <row r="115" spans="2:16" ht="30" customHeight="1">
      <c r="B115" s="563"/>
      <c r="C115" s="569"/>
      <c r="D115" s="583"/>
      <c r="E115" s="586"/>
      <c r="F115" s="586"/>
      <c r="G115" s="68">
        <v>6</v>
      </c>
      <c r="H115" s="68"/>
      <c r="I115" s="668"/>
      <c r="J115" s="630"/>
      <c r="K115" s="573"/>
      <c r="L115" s="457"/>
      <c r="M115" s="662"/>
      <c r="N115" s="559"/>
      <c r="O115" s="664"/>
      <c r="P115" s="666"/>
    </row>
    <row r="116" spans="2:16" ht="30" customHeight="1">
      <c r="B116" s="563"/>
      <c r="C116" s="569"/>
      <c r="D116" s="583"/>
      <c r="E116" s="586"/>
      <c r="F116" s="586"/>
      <c r="G116" s="68">
        <v>7</v>
      </c>
      <c r="H116" s="68"/>
      <c r="I116" s="668"/>
      <c r="J116" s="630"/>
      <c r="K116" s="573"/>
      <c r="L116" s="457"/>
      <c r="M116" s="662"/>
      <c r="N116" s="559"/>
      <c r="O116" s="664"/>
      <c r="P116" s="666"/>
    </row>
    <row r="117" spans="2:16" ht="30" customHeight="1" thickBot="1">
      <c r="B117" s="564"/>
      <c r="C117" s="570"/>
      <c r="D117" s="584"/>
      <c r="E117" s="587"/>
      <c r="F117" s="587"/>
      <c r="G117" s="69">
        <v>8</v>
      </c>
      <c r="H117" s="69"/>
      <c r="I117" s="669"/>
      <c r="J117" s="631"/>
      <c r="K117" s="592"/>
      <c r="L117" s="457"/>
      <c r="M117" s="662"/>
      <c r="N117" s="559"/>
      <c r="O117" s="664"/>
      <c r="P117" s="666"/>
    </row>
    <row r="118" spans="2:16" ht="22.5" customHeight="1">
      <c r="B118" s="566"/>
      <c r="C118" s="566" t="s">
        <v>292</v>
      </c>
      <c r="D118" s="607" t="s">
        <v>8</v>
      </c>
      <c r="E118" s="633" t="s">
        <v>251</v>
      </c>
      <c r="F118" s="627" t="s">
        <v>252</v>
      </c>
      <c r="G118" s="638" t="s">
        <v>115</v>
      </c>
      <c r="H118" s="639"/>
      <c r="I118" s="639"/>
      <c r="J118" s="627" t="s">
        <v>253</v>
      </c>
      <c r="K118" s="594" t="s">
        <v>150</v>
      </c>
      <c r="L118" s="660"/>
      <c r="M118" s="660"/>
      <c r="N118" s="560"/>
      <c r="O118" s="663"/>
      <c r="P118" s="665"/>
    </row>
    <row r="119" spans="2:16" ht="22.5" customHeight="1">
      <c r="B119" s="566"/>
      <c r="C119" s="566"/>
      <c r="D119" s="612"/>
      <c r="E119" s="649"/>
      <c r="F119" s="627"/>
      <c r="G119" s="636" t="s">
        <v>13</v>
      </c>
      <c r="H119" s="633" t="s">
        <v>151</v>
      </c>
      <c r="I119" s="633" t="s">
        <v>254</v>
      </c>
      <c r="J119" s="627"/>
      <c r="K119" s="594"/>
      <c r="L119" s="660"/>
      <c r="M119" s="660"/>
      <c r="N119" s="560"/>
      <c r="O119" s="663"/>
      <c r="P119" s="665"/>
    </row>
    <row r="120" spans="2:16" ht="78.75" customHeight="1" thickBot="1">
      <c r="B120" s="567"/>
      <c r="C120" s="567"/>
      <c r="D120" s="608"/>
      <c r="E120" s="634"/>
      <c r="F120" s="628"/>
      <c r="G120" s="637"/>
      <c r="H120" s="671"/>
      <c r="I120" s="634"/>
      <c r="J120" s="628"/>
      <c r="K120" s="595"/>
      <c r="L120" s="660"/>
      <c r="M120" s="660"/>
      <c r="N120" s="560"/>
      <c r="O120" s="663"/>
      <c r="P120" s="665"/>
    </row>
    <row r="121" spans="2:16" ht="90.75" customHeight="1">
      <c r="B121" s="562" t="str">
        <f>+LEFT(C121,3)</f>
        <v>9.1</v>
      </c>
      <c r="C121" s="568" t="s">
        <v>293</v>
      </c>
      <c r="D121" s="582" t="s">
        <v>294</v>
      </c>
      <c r="E121" s="640" t="s">
        <v>752</v>
      </c>
      <c r="F121" s="585">
        <v>3</v>
      </c>
      <c r="G121" s="70">
        <v>1</v>
      </c>
      <c r="H121" s="171" t="s">
        <v>753</v>
      </c>
      <c r="I121" s="670" t="s">
        <v>879</v>
      </c>
      <c r="J121" s="585">
        <v>3</v>
      </c>
      <c r="K121" s="572" t="str">
        <f>+IF(OR(ISBLANK(F121),ISBLANK(J121)),"",IF(OR(AND(F121=1,J121=1),AND(F121=1,J121=2),AND(F121=1,J121=3)),"Deficiencia de control mayor (diseño y ejecución)",IF(OR(AND(F121=2,J121=2),AND(F121=3,J121=1),AND(F121=3,J121=2),AND(F121=2,J121=1)),"Deficiencia de control (diseño o ejecución)",IF(AND(F121=2,J121=3),"Oportunidad de mejora","Mantenimiento del control"))))</f>
        <v>Mantenimiento del control</v>
      </c>
      <c r="L121" s="457">
        <f>+IF(K121="",75,IF(K121="Deficiencia de control mayor (diseño y ejecución)",80,IF(K121="Deficiencia de control (diseño o ejecución)",100,IF(K121="Oportunidad de mejora",120,140))))</f>
        <v>140</v>
      </c>
      <c r="M121" s="662">
        <v>2.9634999999999998</v>
      </c>
      <c r="N121" s="559">
        <f>+L121+M121</f>
        <v>142.96350000000001</v>
      </c>
      <c r="O121" s="664"/>
      <c r="P121" s="666"/>
    </row>
    <row r="122" spans="2:16" ht="33">
      <c r="B122" s="563"/>
      <c r="C122" s="569"/>
      <c r="D122" s="583"/>
      <c r="E122" s="586"/>
      <c r="F122" s="586"/>
      <c r="G122" s="68">
        <v>2</v>
      </c>
      <c r="H122" s="172" t="s">
        <v>896</v>
      </c>
      <c r="I122" s="668"/>
      <c r="J122" s="586"/>
      <c r="K122" s="573"/>
      <c r="L122" s="457"/>
      <c r="M122" s="662"/>
      <c r="N122" s="559"/>
      <c r="O122" s="664"/>
      <c r="P122" s="666"/>
    </row>
    <row r="123" spans="2:16" ht="16.5" customHeight="1">
      <c r="B123" s="563"/>
      <c r="C123" s="569"/>
      <c r="D123" s="583"/>
      <c r="E123" s="586"/>
      <c r="F123" s="586"/>
      <c r="G123" s="68">
        <v>3</v>
      </c>
      <c r="H123" s="173"/>
      <c r="I123" s="668"/>
      <c r="J123" s="586"/>
      <c r="K123" s="573"/>
      <c r="L123" s="457"/>
      <c r="M123" s="662"/>
      <c r="N123" s="559"/>
      <c r="O123" s="664"/>
      <c r="P123" s="666"/>
    </row>
    <row r="124" spans="2:16" ht="16.5">
      <c r="B124" s="563"/>
      <c r="C124" s="569"/>
      <c r="D124" s="583"/>
      <c r="E124" s="586"/>
      <c r="F124" s="586"/>
      <c r="G124" s="68">
        <v>4</v>
      </c>
      <c r="H124" s="173"/>
      <c r="I124" s="668"/>
      <c r="J124" s="586"/>
      <c r="K124" s="573"/>
      <c r="L124" s="457"/>
      <c r="M124" s="662"/>
      <c r="N124" s="559"/>
      <c r="O124" s="664"/>
      <c r="P124" s="666"/>
    </row>
    <row r="125" spans="2:16" ht="16.5">
      <c r="B125" s="563"/>
      <c r="C125" s="569"/>
      <c r="D125" s="583"/>
      <c r="E125" s="586"/>
      <c r="F125" s="586"/>
      <c r="G125" s="68">
        <v>5</v>
      </c>
      <c r="H125" s="173"/>
      <c r="I125" s="668"/>
      <c r="J125" s="586"/>
      <c r="K125" s="573"/>
      <c r="L125" s="457"/>
      <c r="M125" s="662"/>
      <c r="N125" s="559"/>
      <c r="O125" s="664"/>
      <c r="P125" s="666"/>
    </row>
    <row r="126" spans="2:16" ht="16.5">
      <c r="B126" s="563"/>
      <c r="C126" s="569"/>
      <c r="D126" s="583"/>
      <c r="E126" s="586"/>
      <c r="F126" s="586"/>
      <c r="G126" s="68">
        <v>6</v>
      </c>
      <c r="H126" s="173"/>
      <c r="I126" s="668"/>
      <c r="J126" s="586"/>
      <c r="K126" s="573"/>
      <c r="L126" s="457"/>
      <c r="M126" s="662"/>
      <c r="N126" s="559"/>
      <c r="O126" s="664"/>
      <c r="P126" s="666"/>
    </row>
    <row r="127" spans="2:16" ht="16.5">
      <c r="B127" s="563"/>
      <c r="C127" s="569"/>
      <c r="D127" s="583"/>
      <c r="E127" s="586"/>
      <c r="F127" s="586"/>
      <c r="G127" s="68">
        <v>7</v>
      </c>
      <c r="H127" s="173"/>
      <c r="I127" s="668"/>
      <c r="J127" s="586"/>
      <c r="K127" s="573"/>
      <c r="L127" s="457"/>
      <c r="M127" s="662"/>
      <c r="N127" s="559"/>
      <c r="O127" s="664"/>
      <c r="P127" s="666"/>
    </row>
    <row r="128" spans="2:16" ht="17.25" thickBot="1">
      <c r="B128" s="564"/>
      <c r="C128" s="570"/>
      <c r="D128" s="584"/>
      <c r="E128" s="587"/>
      <c r="F128" s="587"/>
      <c r="G128" s="69">
        <v>8</v>
      </c>
      <c r="H128" s="174"/>
      <c r="I128" s="669"/>
      <c r="J128" s="587"/>
      <c r="K128" s="592"/>
      <c r="L128" s="457"/>
      <c r="M128" s="662"/>
      <c r="N128" s="559"/>
      <c r="O128" s="664"/>
      <c r="P128" s="666"/>
    </row>
    <row r="129" spans="2:16" ht="51.75" customHeight="1">
      <c r="B129" s="562" t="str">
        <f>+LEFT(C129,3)</f>
        <v>9.2</v>
      </c>
      <c r="C129" s="620" t="s">
        <v>295</v>
      </c>
      <c r="D129" s="582" t="s">
        <v>286</v>
      </c>
      <c r="E129" s="641" t="s">
        <v>754</v>
      </c>
      <c r="F129" s="585">
        <v>3</v>
      </c>
      <c r="G129" s="70">
        <v>1</v>
      </c>
      <c r="H129" s="175" t="s">
        <v>296</v>
      </c>
      <c r="I129" s="640" t="s">
        <v>851</v>
      </c>
      <c r="J129" s="585">
        <v>3</v>
      </c>
      <c r="K129" s="572" t="str">
        <f>+IF(OR(ISBLANK(F129),ISBLANK(J129)),"",IF(OR(AND(F129=1,J129=1),AND(F129=1,J129=2),AND(F129=1,J129=3)),"Deficiencia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Mantenimiento del control</v>
      </c>
      <c r="L129" s="457">
        <f>+IF(K129="",75,IF(K129="Deficiencia de control mayor (diseño y ejecución)",80,IF(K129="Deficiencia de control (diseño o ejecución)",100,IF(K129="Oportunidad de mejora",120,140))))</f>
        <v>140</v>
      </c>
      <c r="M129" s="662">
        <v>3.0125000000000002</v>
      </c>
      <c r="N129" s="559">
        <f>+L129+M129</f>
        <v>143.01249999999999</v>
      </c>
      <c r="O129" s="664"/>
      <c r="P129" s="666"/>
    </row>
    <row r="130" spans="2:16" ht="84" customHeight="1">
      <c r="B130" s="563"/>
      <c r="C130" s="621"/>
      <c r="D130" s="583"/>
      <c r="E130" s="642"/>
      <c r="F130" s="586"/>
      <c r="G130" s="68">
        <v>2</v>
      </c>
      <c r="H130" s="172" t="s">
        <v>755</v>
      </c>
      <c r="I130" s="586"/>
      <c r="J130" s="586"/>
      <c r="K130" s="573"/>
      <c r="L130" s="457"/>
      <c r="M130" s="662"/>
      <c r="N130" s="559"/>
      <c r="O130" s="664"/>
      <c r="P130" s="666"/>
    </row>
    <row r="131" spans="2:16" ht="22.5" customHeight="1">
      <c r="B131" s="563"/>
      <c r="C131" s="621"/>
      <c r="D131" s="583"/>
      <c r="E131" s="642"/>
      <c r="F131" s="586"/>
      <c r="G131" s="68">
        <v>3</v>
      </c>
      <c r="H131" s="176"/>
      <c r="I131" s="586"/>
      <c r="J131" s="586"/>
      <c r="K131" s="573"/>
      <c r="L131" s="457"/>
      <c r="M131" s="662"/>
      <c r="N131" s="559"/>
      <c r="O131" s="664"/>
      <c r="P131" s="666"/>
    </row>
    <row r="132" spans="2:16" ht="22.5" customHeight="1">
      <c r="B132" s="563"/>
      <c r="C132" s="621"/>
      <c r="D132" s="583"/>
      <c r="E132" s="642"/>
      <c r="F132" s="586"/>
      <c r="G132" s="68">
        <v>4</v>
      </c>
      <c r="H132" s="176"/>
      <c r="I132" s="586"/>
      <c r="J132" s="586"/>
      <c r="K132" s="573"/>
      <c r="L132" s="457"/>
      <c r="M132" s="662"/>
      <c r="N132" s="559"/>
      <c r="O132" s="664"/>
      <c r="P132" s="666"/>
    </row>
    <row r="133" spans="2:16" ht="22.5" customHeight="1">
      <c r="B133" s="563"/>
      <c r="C133" s="621"/>
      <c r="D133" s="583"/>
      <c r="E133" s="642"/>
      <c r="F133" s="586"/>
      <c r="G133" s="68">
        <v>5</v>
      </c>
      <c r="H133" s="176"/>
      <c r="I133" s="586"/>
      <c r="J133" s="586"/>
      <c r="K133" s="573"/>
      <c r="L133" s="457"/>
      <c r="M133" s="662"/>
      <c r="N133" s="559"/>
      <c r="O133" s="664"/>
      <c r="P133" s="666"/>
    </row>
    <row r="134" spans="2:16" ht="22.5" customHeight="1">
      <c r="B134" s="563"/>
      <c r="C134" s="621"/>
      <c r="D134" s="583"/>
      <c r="E134" s="642"/>
      <c r="F134" s="586"/>
      <c r="G134" s="68">
        <v>6</v>
      </c>
      <c r="H134" s="176"/>
      <c r="I134" s="586"/>
      <c r="J134" s="586"/>
      <c r="K134" s="573"/>
      <c r="L134" s="457"/>
      <c r="M134" s="662"/>
      <c r="N134" s="559"/>
      <c r="O134" s="664"/>
      <c r="P134" s="666"/>
    </row>
    <row r="135" spans="2:16" ht="22.5" customHeight="1">
      <c r="B135" s="563"/>
      <c r="C135" s="621"/>
      <c r="D135" s="583"/>
      <c r="E135" s="642"/>
      <c r="F135" s="586"/>
      <c r="G135" s="68">
        <v>7</v>
      </c>
      <c r="H135" s="176"/>
      <c r="I135" s="586"/>
      <c r="J135" s="586"/>
      <c r="K135" s="573"/>
      <c r="L135" s="457"/>
      <c r="M135" s="662"/>
      <c r="N135" s="559"/>
      <c r="O135" s="664"/>
      <c r="P135" s="666"/>
    </row>
    <row r="136" spans="2:16" ht="22.5" customHeight="1">
      <c r="B136" s="564"/>
      <c r="C136" s="622"/>
      <c r="D136" s="584"/>
      <c r="E136" s="643"/>
      <c r="F136" s="587"/>
      <c r="G136" s="69">
        <v>8</v>
      </c>
      <c r="H136" s="177"/>
      <c r="I136" s="635"/>
      <c r="J136" s="635"/>
      <c r="K136" s="574"/>
      <c r="L136" s="457"/>
      <c r="M136" s="662"/>
      <c r="N136" s="559"/>
      <c r="O136" s="664"/>
      <c r="P136" s="666"/>
    </row>
    <row r="137" spans="2:16" ht="95.25" customHeight="1">
      <c r="B137" s="562" t="str">
        <f>+LEFT(C137,3)</f>
        <v>9.3</v>
      </c>
      <c r="C137" s="620" t="s">
        <v>297</v>
      </c>
      <c r="D137" s="626" t="s">
        <v>284</v>
      </c>
      <c r="E137" s="640" t="s">
        <v>298</v>
      </c>
      <c r="F137" s="585">
        <v>3</v>
      </c>
      <c r="G137" s="70">
        <v>1</v>
      </c>
      <c r="H137" s="171" t="s">
        <v>299</v>
      </c>
      <c r="I137" s="667" t="s">
        <v>756</v>
      </c>
      <c r="J137" s="655">
        <v>3</v>
      </c>
      <c r="K137" s="575" t="str">
        <f>+IF(OR(ISBLANK(F137),ISBLANK(J137)),"",IF(OR(AND(F137=1,J137=1),AND(F137=1,J137=2),AND(F137=1,J137=3)),"Deficiencia de control mayor (diseño y ejecución)",IF(OR(AND(F137=2,J137=2),AND(F137=3,J137=1),AND(F137=3,J137=2),AND(F137=2,J137=1)),"Deficiencia de control (diseño o ejecución)",IF(AND(F137=2,J137=3),"Oportunidad de mejora","Mantenimiento del control"))))</f>
        <v>Mantenimiento del control</v>
      </c>
      <c r="L137" s="457">
        <f>+IF(K137="",75,IF(K137="Deficiencia de control mayor (diseño y ejecución)",80,IF(K137="Deficiencia de control (diseño o ejecución)",100,IF(K137="Oportunidad de mejora",120,140))))</f>
        <v>140</v>
      </c>
      <c r="M137" s="662">
        <v>3.1236000000000002</v>
      </c>
      <c r="N137" s="559">
        <f>+L137+M137</f>
        <v>143.12360000000001</v>
      </c>
      <c r="O137" s="664"/>
      <c r="P137" s="666"/>
    </row>
    <row r="138" spans="2:16" ht="22.5" customHeight="1">
      <c r="B138" s="563"/>
      <c r="C138" s="621"/>
      <c r="D138" s="583"/>
      <c r="E138" s="586"/>
      <c r="F138" s="586"/>
      <c r="G138" s="68">
        <v>2</v>
      </c>
      <c r="H138" s="173"/>
      <c r="I138" s="586"/>
      <c r="J138" s="586"/>
      <c r="K138" s="573"/>
      <c r="L138" s="457"/>
      <c r="M138" s="662"/>
      <c r="N138" s="559"/>
      <c r="O138" s="664"/>
      <c r="P138" s="666"/>
    </row>
    <row r="139" spans="2:16" ht="22.5" customHeight="1">
      <c r="B139" s="563"/>
      <c r="C139" s="621"/>
      <c r="D139" s="583"/>
      <c r="E139" s="586"/>
      <c r="F139" s="586"/>
      <c r="G139" s="68">
        <v>3</v>
      </c>
      <c r="H139" s="173"/>
      <c r="I139" s="586"/>
      <c r="J139" s="586"/>
      <c r="K139" s="573"/>
      <c r="L139" s="457"/>
      <c r="M139" s="662"/>
      <c r="N139" s="559"/>
      <c r="O139" s="664"/>
      <c r="P139" s="666"/>
    </row>
    <row r="140" spans="2:16" ht="22.5" customHeight="1">
      <c r="B140" s="563"/>
      <c r="C140" s="621"/>
      <c r="D140" s="583"/>
      <c r="E140" s="586"/>
      <c r="F140" s="586"/>
      <c r="G140" s="68">
        <v>4</v>
      </c>
      <c r="H140" s="173"/>
      <c r="I140" s="586"/>
      <c r="J140" s="586"/>
      <c r="K140" s="573"/>
      <c r="L140" s="457"/>
      <c r="M140" s="662"/>
      <c r="N140" s="559"/>
      <c r="O140" s="664"/>
      <c r="P140" s="666"/>
    </row>
    <row r="141" spans="2:16" ht="22.5" customHeight="1">
      <c r="B141" s="563"/>
      <c r="C141" s="621"/>
      <c r="D141" s="583"/>
      <c r="E141" s="586"/>
      <c r="F141" s="586"/>
      <c r="G141" s="68">
        <v>5</v>
      </c>
      <c r="H141" s="173"/>
      <c r="I141" s="586"/>
      <c r="J141" s="586"/>
      <c r="K141" s="573"/>
      <c r="L141" s="457"/>
      <c r="M141" s="662"/>
      <c r="N141" s="559"/>
      <c r="O141" s="664"/>
      <c r="P141" s="666"/>
    </row>
    <row r="142" spans="2:16" ht="22.5" customHeight="1">
      <c r="B142" s="563"/>
      <c r="C142" s="621"/>
      <c r="D142" s="583"/>
      <c r="E142" s="586"/>
      <c r="F142" s="586"/>
      <c r="G142" s="68">
        <v>6</v>
      </c>
      <c r="H142" s="173"/>
      <c r="I142" s="586"/>
      <c r="J142" s="586"/>
      <c r="K142" s="573"/>
      <c r="L142" s="457"/>
      <c r="M142" s="662"/>
      <c r="N142" s="559"/>
      <c r="O142" s="664"/>
      <c r="P142" s="666"/>
    </row>
    <row r="143" spans="2:16" ht="22.5" customHeight="1">
      <c r="B143" s="563"/>
      <c r="C143" s="621"/>
      <c r="D143" s="583"/>
      <c r="E143" s="586"/>
      <c r="F143" s="586"/>
      <c r="G143" s="68">
        <v>7</v>
      </c>
      <c r="H143" s="173"/>
      <c r="I143" s="586"/>
      <c r="J143" s="586"/>
      <c r="K143" s="573"/>
      <c r="L143" s="457"/>
      <c r="M143" s="662"/>
      <c r="N143" s="559"/>
      <c r="O143" s="664"/>
      <c r="P143" s="666"/>
    </row>
    <row r="144" spans="2:16" ht="22.5" customHeight="1">
      <c r="B144" s="564"/>
      <c r="C144" s="622"/>
      <c r="D144" s="584"/>
      <c r="E144" s="587"/>
      <c r="F144" s="587"/>
      <c r="G144" s="69">
        <v>8</v>
      </c>
      <c r="H144" s="174"/>
      <c r="I144" s="656"/>
      <c r="J144" s="656"/>
      <c r="K144" s="576"/>
      <c r="L144" s="457"/>
      <c r="M144" s="662"/>
      <c r="N144" s="559"/>
      <c r="O144" s="664"/>
      <c r="P144" s="666"/>
    </row>
    <row r="145" spans="2:16" ht="64.5" customHeight="1">
      <c r="B145" s="562" t="str">
        <f>+LEFT(C145,3)</f>
        <v>9.4</v>
      </c>
      <c r="C145" s="620" t="s">
        <v>300</v>
      </c>
      <c r="D145" s="626" t="s">
        <v>286</v>
      </c>
      <c r="E145" s="640" t="s">
        <v>290</v>
      </c>
      <c r="F145" s="585">
        <v>3</v>
      </c>
      <c r="G145" s="70">
        <v>1</v>
      </c>
      <c r="H145" s="171" t="s">
        <v>898</v>
      </c>
      <c r="I145" s="668" t="s">
        <v>900</v>
      </c>
      <c r="J145" s="632">
        <v>3</v>
      </c>
      <c r="K145" s="591" t="str">
        <f>+IF(OR(ISBLANK(F145),ISBLANK(J145)),"",IF(OR(AND(F145=1,J145=1),AND(F145=1,J145=2),AND(F145=1,J145=3)),"Deficiencia de control mayor (diseño y ejecución)",IF(OR(AND(F145=2,J145=2),AND(F145=3,J145=1),AND(F145=3,J145=2),AND(F145=2,J145=1)),"Deficiencia de control (diseño o ejecución)",IF(AND(F145=2,J145=3),"Oportunidad de mejora","Mantenimiento del control"))))</f>
        <v>Mantenimiento del control</v>
      </c>
      <c r="L145" s="457">
        <f>+IF(K145="",75,IF(K145="Deficiencia de control mayor (diseño y ejecución)",80,IF(K145="Deficiencia de control (diseño o ejecución)",100,IF(K145="Oportunidad de mejora",120,140))))</f>
        <v>140</v>
      </c>
      <c r="M145" s="662">
        <v>3.2456</v>
      </c>
      <c r="N145" s="559">
        <f>+L145+M145</f>
        <v>143.2456</v>
      </c>
      <c r="O145" s="664"/>
      <c r="P145" s="666"/>
    </row>
    <row r="146" spans="2:16" ht="65.25" customHeight="1">
      <c r="B146" s="563"/>
      <c r="C146" s="621"/>
      <c r="D146" s="583"/>
      <c r="E146" s="586"/>
      <c r="F146" s="586"/>
      <c r="G146" s="68">
        <v>2</v>
      </c>
      <c r="H146" s="172" t="s">
        <v>899</v>
      </c>
      <c r="I146" s="668"/>
      <c r="J146" s="586"/>
      <c r="K146" s="573"/>
      <c r="L146" s="457"/>
      <c r="M146" s="662"/>
      <c r="N146" s="559"/>
      <c r="O146" s="664"/>
      <c r="P146" s="666"/>
    </row>
    <row r="147" spans="2:16" ht="58.5" customHeight="1">
      <c r="B147" s="563"/>
      <c r="C147" s="621"/>
      <c r="D147" s="583"/>
      <c r="E147" s="586"/>
      <c r="F147" s="586"/>
      <c r="G147" s="68">
        <v>3</v>
      </c>
      <c r="H147" s="172" t="s">
        <v>301</v>
      </c>
      <c r="I147" s="668"/>
      <c r="J147" s="586"/>
      <c r="K147" s="573"/>
      <c r="L147" s="457"/>
      <c r="M147" s="662"/>
      <c r="N147" s="559"/>
      <c r="O147" s="664"/>
      <c r="P147" s="666"/>
    </row>
    <row r="148" spans="2:16" ht="22.5" customHeight="1">
      <c r="B148" s="563"/>
      <c r="C148" s="621"/>
      <c r="D148" s="583"/>
      <c r="E148" s="586"/>
      <c r="F148" s="586"/>
      <c r="G148" s="68">
        <v>4</v>
      </c>
      <c r="H148" s="173"/>
      <c r="I148" s="668"/>
      <c r="J148" s="586"/>
      <c r="K148" s="573"/>
      <c r="L148" s="457"/>
      <c r="M148" s="662"/>
      <c r="N148" s="559"/>
      <c r="O148" s="664"/>
      <c r="P148" s="666"/>
    </row>
    <row r="149" spans="2:16" ht="22.5" customHeight="1">
      <c r="B149" s="563"/>
      <c r="C149" s="621"/>
      <c r="D149" s="583"/>
      <c r="E149" s="586"/>
      <c r="F149" s="586"/>
      <c r="G149" s="68">
        <v>5</v>
      </c>
      <c r="H149" s="173"/>
      <c r="I149" s="668"/>
      <c r="J149" s="586"/>
      <c r="K149" s="573"/>
      <c r="L149" s="457"/>
      <c r="M149" s="662"/>
      <c r="N149" s="559"/>
      <c r="O149" s="664"/>
      <c r="P149" s="666"/>
    </row>
    <row r="150" spans="2:16" ht="22.5" customHeight="1">
      <c r="B150" s="563"/>
      <c r="C150" s="621"/>
      <c r="D150" s="583"/>
      <c r="E150" s="586"/>
      <c r="F150" s="586"/>
      <c r="G150" s="68">
        <v>6</v>
      </c>
      <c r="H150" s="173"/>
      <c r="I150" s="668"/>
      <c r="J150" s="586"/>
      <c r="K150" s="573"/>
      <c r="L150" s="457"/>
      <c r="M150" s="662"/>
      <c r="N150" s="559"/>
      <c r="O150" s="664"/>
      <c r="P150" s="666"/>
    </row>
    <row r="151" spans="2:16" ht="22.5" customHeight="1">
      <c r="B151" s="563"/>
      <c r="C151" s="621"/>
      <c r="D151" s="583"/>
      <c r="E151" s="586"/>
      <c r="F151" s="586"/>
      <c r="G151" s="68">
        <v>7</v>
      </c>
      <c r="H151" s="173"/>
      <c r="I151" s="668"/>
      <c r="J151" s="586"/>
      <c r="K151" s="573"/>
      <c r="L151" s="457"/>
      <c r="M151" s="662"/>
      <c r="N151" s="559"/>
      <c r="O151" s="664"/>
      <c r="P151" s="666"/>
    </row>
    <row r="152" spans="2:16" ht="22.5" customHeight="1">
      <c r="B152" s="564"/>
      <c r="C152" s="622"/>
      <c r="D152" s="584"/>
      <c r="E152" s="587"/>
      <c r="F152" s="587"/>
      <c r="G152" s="69">
        <v>8</v>
      </c>
      <c r="H152" s="174"/>
      <c r="I152" s="669"/>
      <c r="J152" s="587"/>
      <c r="K152" s="592"/>
      <c r="L152" s="457"/>
      <c r="M152" s="662"/>
      <c r="N152" s="559"/>
      <c r="O152" s="664"/>
      <c r="P152" s="666"/>
    </row>
    <row r="153" spans="2:16" ht="66" customHeight="1">
      <c r="B153" s="562" t="str">
        <f>+LEFT(C153,3)</f>
        <v>9.5</v>
      </c>
      <c r="C153" s="620" t="s">
        <v>302</v>
      </c>
      <c r="D153" s="626" t="s">
        <v>303</v>
      </c>
      <c r="E153" s="623" t="s">
        <v>813</v>
      </c>
      <c r="F153" s="585">
        <v>3</v>
      </c>
      <c r="G153" s="70">
        <v>1</v>
      </c>
      <c r="H153" s="171" t="s">
        <v>304</v>
      </c>
      <c r="I153" s="670" t="s">
        <v>901</v>
      </c>
      <c r="J153" s="585">
        <v>3</v>
      </c>
      <c r="K153" s="572" t="str">
        <f>+IF(OR(ISBLANK(F153),ISBLANK(J153)),"",IF(OR(AND(F153=1,J153=1),AND(F153=1,J153=2),AND(F153=1,J153=3)),"Deficiencia de control mayor (diseño y ejecución)",IF(OR(AND(F153=2,J153=2),AND(F153=3,J153=1),AND(F153=3,J153=2),AND(F153=2,J153=1)),"Deficiencia de control (diseño o ejecución)",IF(AND(F153=2,J153=3),"Oportunidad de mejora","Mantenimiento del control"))))</f>
        <v>Mantenimiento del control</v>
      </c>
      <c r="L153" s="457">
        <f>+IF(K153="",75,IF(K153="Deficiencia de control mayor (diseño y ejecución)",80,IF(K153="Deficiencia de control (diseño o ejecución)",100,IF(K153="Oportunidad de mejora",120,140))))</f>
        <v>140</v>
      </c>
      <c r="M153" s="662">
        <v>3.3654000000000002</v>
      </c>
      <c r="N153" s="559">
        <f>+L153+M153</f>
        <v>143.36539999999999</v>
      </c>
      <c r="O153" s="664"/>
      <c r="P153" s="666"/>
    </row>
    <row r="154" spans="2:16" ht="51" customHeight="1">
      <c r="B154" s="563"/>
      <c r="C154" s="621"/>
      <c r="D154" s="583"/>
      <c r="E154" s="624"/>
      <c r="F154" s="586"/>
      <c r="G154" s="68">
        <v>2</v>
      </c>
      <c r="H154" s="172" t="s">
        <v>305</v>
      </c>
      <c r="I154" s="668"/>
      <c r="J154" s="586"/>
      <c r="K154" s="573"/>
      <c r="L154" s="457"/>
      <c r="M154" s="662"/>
      <c r="N154" s="559"/>
      <c r="O154" s="664"/>
      <c r="P154" s="666"/>
    </row>
    <row r="155" spans="2:16" ht="22.5" customHeight="1">
      <c r="B155" s="563"/>
      <c r="C155" s="621"/>
      <c r="D155" s="583"/>
      <c r="E155" s="624"/>
      <c r="F155" s="586"/>
      <c r="G155" s="68">
        <v>3</v>
      </c>
      <c r="H155" s="172"/>
      <c r="I155" s="668"/>
      <c r="J155" s="586"/>
      <c r="K155" s="573"/>
      <c r="L155" s="457"/>
      <c r="M155" s="662"/>
      <c r="N155" s="559"/>
      <c r="O155" s="664"/>
      <c r="P155" s="666"/>
    </row>
    <row r="156" spans="2:16" ht="22.5" customHeight="1">
      <c r="B156" s="563"/>
      <c r="C156" s="621"/>
      <c r="D156" s="583"/>
      <c r="E156" s="624"/>
      <c r="F156" s="586"/>
      <c r="G156" s="68">
        <v>4</v>
      </c>
      <c r="H156" s="96"/>
      <c r="I156" s="668"/>
      <c r="J156" s="586"/>
      <c r="K156" s="573"/>
      <c r="L156" s="457"/>
      <c r="M156" s="662"/>
      <c r="N156" s="559"/>
      <c r="O156" s="664"/>
      <c r="P156" s="666"/>
    </row>
    <row r="157" spans="2:16" ht="22.5" customHeight="1">
      <c r="B157" s="563"/>
      <c r="C157" s="621"/>
      <c r="D157" s="583"/>
      <c r="E157" s="624"/>
      <c r="F157" s="586"/>
      <c r="G157" s="68">
        <v>5</v>
      </c>
      <c r="H157" s="96"/>
      <c r="I157" s="668"/>
      <c r="J157" s="586"/>
      <c r="K157" s="573"/>
      <c r="L157" s="457"/>
      <c r="M157" s="662"/>
      <c r="N157" s="559"/>
      <c r="O157" s="664"/>
      <c r="P157" s="666"/>
    </row>
    <row r="158" spans="2:16" ht="22.5" customHeight="1">
      <c r="B158" s="563"/>
      <c r="C158" s="621"/>
      <c r="D158" s="583"/>
      <c r="E158" s="624"/>
      <c r="F158" s="586"/>
      <c r="G158" s="68">
        <v>6</v>
      </c>
      <c r="H158" s="96"/>
      <c r="I158" s="668"/>
      <c r="J158" s="586"/>
      <c r="K158" s="573"/>
      <c r="L158" s="457"/>
      <c r="M158" s="662"/>
      <c r="N158" s="559"/>
      <c r="O158" s="664"/>
      <c r="P158" s="666"/>
    </row>
    <row r="159" spans="2:16" ht="22.5" customHeight="1">
      <c r="B159" s="563"/>
      <c r="C159" s="621"/>
      <c r="D159" s="583"/>
      <c r="E159" s="624"/>
      <c r="F159" s="586"/>
      <c r="G159" s="68">
        <v>7</v>
      </c>
      <c r="H159" s="96"/>
      <c r="I159" s="668"/>
      <c r="J159" s="586"/>
      <c r="K159" s="573"/>
      <c r="L159" s="457"/>
      <c r="M159" s="662"/>
      <c r="N159" s="559"/>
      <c r="O159" s="664"/>
      <c r="P159" s="666"/>
    </row>
    <row r="160" spans="2:16" ht="22.5" customHeight="1">
      <c r="B160" s="564"/>
      <c r="C160" s="622"/>
      <c r="D160" s="584"/>
      <c r="E160" s="625"/>
      <c r="F160" s="587"/>
      <c r="G160" s="69">
        <v>8</v>
      </c>
      <c r="H160" s="97"/>
      <c r="I160" s="669"/>
      <c r="J160" s="587"/>
      <c r="K160" s="592"/>
      <c r="L160" s="457"/>
      <c r="M160" s="662"/>
      <c r="N160" s="559"/>
      <c r="O160" s="664"/>
      <c r="P160" s="666"/>
    </row>
  </sheetData>
  <sheetProtection formatCells="0" formatColumns="0" formatRows="0"/>
  <mergeCells count="286">
    <mergeCell ref="I137:I144"/>
    <mergeCell ref="I145:I152"/>
    <mergeCell ref="I153:I160"/>
    <mergeCell ref="H41:H42"/>
    <mergeCell ref="H84:H85"/>
    <mergeCell ref="H119:H120"/>
    <mergeCell ref="I51:I58"/>
    <mergeCell ref="I59:I66"/>
    <mergeCell ref="I67:I74"/>
    <mergeCell ref="I75:I82"/>
    <mergeCell ref="I86:I93"/>
    <mergeCell ref="I94:I101"/>
    <mergeCell ref="I102:I109"/>
    <mergeCell ref="I110:I117"/>
    <mergeCell ref="I121:I128"/>
    <mergeCell ref="P137:P144"/>
    <mergeCell ref="P145:P152"/>
    <mergeCell ref="P153:P160"/>
    <mergeCell ref="P75:P82"/>
    <mergeCell ref="P83:P85"/>
    <mergeCell ref="P86:P93"/>
    <mergeCell ref="P94:P101"/>
    <mergeCell ref="P102:P109"/>
    <mergeCell ref="P110:P117"/>
    <mergeCell ref="P118:P120"/>
    <mergeCell ref="P121:P128"/>
    <mergeCell ref="P129:P136"/>
    <mergeCell ref="P13:P15"/>
    <mergeCell ref="P16:P23"/>
    <mergeCell ref="P24:P31"/>
    <mergeCell ref="P32:P39"/>
    <mergeCell ref="P40:P42"/>
    <mergeCell ref="P43:P50"/>
    <mergeCell ref="P51:P58"/>
    <mergeCell ref="P59:P66"/>
    <mergeCell ref="P67:P74"/>
    <mergeCell ref="M137:M144"/>
    <mergeCell ref="M145:M152"/>
    <mergeCell ref="M153:M160"/>
    <mergeCell ref="O13:O15"/>
    <mergeCell ref="N16:N23"/>
    <mergeCell ref="O24:O31"/>
    <mergeCell ref="O32:O39"/>
    <mergeCell ref="O40:O42"/>
    <mergeCell ref="O43:O50"/>
    <mergeCell ref="O51:O58"/>
    <mergeCell ref="O59:O66"/>
    <mergeCell ref="O67:O74"/>
    <mergeCell ref="O75:O82"/>
    <mergeCell ref="O83:O85"/>
    <mergeCell ref="O86:O93"/>
    <mergeCell ref="O94:O101"/>
    <mergeCell ref="O102:O109"/>
    <mergeCell ref="O110:O117"/>
    <mergeCell ref="O118:O120"/>
    <mergeCell ref="O121:O128"/>
    <mergeCell ref="O129:O136"/>
    <mergeCell ref="O137:O144"/>
    <mergeCell ref="O145:O152"/>
    <mergeCell ref="O153:O160"/>
    <mergeCell ref="M75:M82"/>
    <mergeCell ref="M83:M85"/>
    <mergeCell ref="M86:M93"/>
    <mergeCell ref="M94:M101"/>
    <mergeCell ref="M102:M109"/>
    <mergeCell ref="M110:M117"/>
    <mergeCell ref="M118:M120"/>
    <mergeCell ref="M121:M128"/>
    <mergeCell ref="M129:M136"/>
    <mergeCell ref="M13:M15"/>
    <mergeCell ref="M16:M23"/>
    <mergeCell ref="M24:M31"/>
    <mergeCell ref="M32:M39"/>
    <mergeCell ref="M40:M42"/>
    <mergeCell ref="M43:M50"/>
    <mergeCell ref="M51:M58"/>
    <mergeCell ref="M59:M66"/>
    <mergeCell ref="M67:M74"/>
    <mergeCell ref="L13:L15"/>
    <mergeCell ref="L16:L23"/>
    <mergeCell ref="L24:L31"/>
    <mergeCell ref="L32:L39"/>
    <mergeCell ref="L40:L42"/>
    <mergeCell ref="L43:L50"/>
    <mergeCell ref="L51:L58"/>
    <mergeCell ref="L59:L66"/>
    <mergeCell ref="L67:L74"/>
    <mergeCell ref="L75:L82"/>
    <mergeCell ref="L83:L85"/>
    <mergeCell ref="L86:L93"/>
    <mergeCell ref="L94:L101"/>
    <mergeCell ref="L102:L109"/>
    <mergeCell ref="L110:L117"/>
    <mergeCell ref="L118:L120"/>
    <mergeCell ref="L121:L128"/>
    <mergeCell ref="L129:L136"/>
    <mergeCell ref="L137:L144"/>
    <mergeCell ref="L145:L152"/>
    <mergeCell ref="L153:L160"/>
    <mergeCell ref="J137:J144"/>
    <mergeCell ref="C94:C101"/>
    <mergeCell ref="D94:D101"/>
    <mergeCell ref="E94:E101"/>
    <mergeCell ref="F94:F101"/>
    <mergeCell ref="J94:J101"/>
    <mergeCell ref="C102:C109"/>
    <mergeCell ref="D102:D109"/>
    <mergeCell ref="E102:E109"/>
    <mergeCell ref="F102:F109"/>
    <mergeCell ref="J102:J109"/>
    <mergeCell ref="C121:C128"/>
    <mergeCell ref="E121:E128"/>
    <mergeCell ref="F121:F128"/>
    <mergeCell ref="F118:F120"/>
    <mergeCell ref="C145:C152"/>
    <mergeCell ref="F145:F152"/>
    <mergeCell ref="D145:D152"/>
    <mergeCell ref="E145:E152"/>
    <mergeCell ref="F153:F160"/>
    <mergeCell ref="K121:K128"/>
    <mergeCell ref="C67:C74"/>
    <mergeCell ref="D67:D74"/>
    <mergeCell ref="E67:E74"/>
    <mergeCell ref="F67:F74"/>
    <mergeCell ref="J67:J74"/>
    <mergeCell ref="E83:E85"/>
    <mergeCell ref="E118:E120"/>
    <mergeCell ref="G84:G85"/>
    <mergeCell ref="G14:G15"/>
    <mergeCell ref="C24:C31"/>
    <mergeCell ref="E24:E31"/>
    <mergeCell ref="F24:F31"/>
    <mergeCell ref="C13:C15"/>
    <mergeCell ref="C83:C85"/>
    <mergeCell ref="F83:F85"/>
    <mergeCell ref="C75:C82"/>
    <mergeCell ref="E75:E82"/>
    <mergeCell ref="F75:F82"/>
    <mergeCell ref="D75:D82"/>
    <mergeCell ref="D83:D85"/>
    <mergeCell ref="D118:D120"/>
    <mergeCell ref="C118:C120"/>
    <mergeCell ref="C32:C39"/>
    <mergeCell ref="E32:E39"/>
    <mergeCell ref="F32:F39"/>
    <mergeCell ref="D32:D39"/>
    <mergeCell ref="I41:I42"/>
    <mergeCell ref="C43:C50"/>
    <mergeCell ref="E43:E50"/>
    <mergeCell ref="G40:I40"/>
    <mergeCell ref="F40:F42"/>
    <mergeCell ref="F43:F50"/>
    <mergeCell ref="E40:E42"/>
    <mergeCell ref="I32:I39"/>
    <mergeCell ref="I43:I50"/>
    <mergeCell ref="F59:F66"/>
    <mergeCell ref="G41:G42"/>
    <mergeCell ref="C51:C58"/>
    <mergeCell ref="D40:D42"/>
    <mergeCell ref="D59:D66"/>
    <mergeCell ref="C40:C42"/>
    <mergeCell ref="C59:C66"/>
    <mergeCell ref="E59:E66"/>
    <mergeCell ref="D43:D50"/>
    <mergeCell ref="D51:D58"/>
    <mergeCell ref="E51:E58"/>
    <mergeCell ref="F51:F58"/>
    <mergeCell ref="J118:J120"/>
    <mergeCell ref="J129:J136"/>
    <mergeCell ref="J153:J160"/>
    <mergeCell ref="G119:G120"/>
    <mergeCell ref="G83:I83"/>
    <mergeCell ref="G118:I118"/>
    <mergeCell ref="C86:C93"/>
    <mergeCell ref="E86:E93"/>
    <mergeCell ref="F86:F93"/>
    <mergeCell ref="C110:C117"/>
    <mergeCell ref="E110:E117"/>
    <mergeCell ref="F110:F117"/>
    <mergeCell ref="D110:D117"/>
    <mergeCell ref="D86:D93"/>
    <mergeCell ref="C137:C144"/>
    <mergeCell ref="D137:D144"/>
    <mergeCell ref="E137:E144"/>
    <mergeCell ref="F137:F144"/>
    <mergeCell ref="D129:D136"/>
    <mergeCell ref="D121:D128"/>
    <mergeCell ref="C129:C136"/>
    <mergeCell ref="E129:E136"/>
    <mergeCell ref="F129:F136"/>
    <mergeCell ref="I129:I136"/>
    <mergeCell ref="E16:E23"/>
    <mergeCell ref="D24:D31"/>
    <mergeCell ref="E13:E15"/>
    <mergeCell ref="D13:D15"/>
    <mergeCell ref="J13:J15"/>
    <mergeCell ref="H14:H15"/>
    <mergeCell ref="I16:I23"/>
    <mergeCell ref="I24:I31"/>
    <mergeCell ref="C153:C160"/>
    <mergeCell ref="E153:E160"/>
    <mergeCell ref="D153:D160"/>
    <mergeCell ref="J32:J39"/>
    <mergeCell ref="J40:J42"/>
    <mergeCell ref="J43:J50"/>
    <mergeCell ref="J51:J58"/>
    <mergeCell ref="J59:J66"/>
    <mergeCell ref="J75:J82"/>
    <mergeCell ref="J83:J85"/>
    <mergeCell ref="J86:J93"/>
    <mergeCell ref="J145:J152"/>
    <mergeCell ref="J121:J128"/>
    <mergeCell ref="I84:I85"/>
    <mergeCell ref="I119:I120"/>
    <mergeCell ref="J110:J117"/>
    <mergeCell ref="K145:K152"/>
    <mergeCell ref="K153:K160"/>
    <mergeCell ref="C10:K10"/>
    <mergeCell ref="C11:K11"/>
    <mergeCell ref="K13:K15"/>
    <mergeCell ref="K40:K42"/>
    <mergeCell ref="K83:K85"/>
    <mergeCell ref="K118:K120"/>
    <mergeCell ref="K16:K23"/>
    <mergeCell ref="K24:K31"/>
    <mergeCell ref="K32:K39"/>
    <mergeCell ref="K43:K50"/>
    <mergeCell ref="K51:K58"/>
    <mergeCell ref="K59:K66"/>
    <mergeCell ref="K67:K74"/>
    <mergeCell ref="K75:K82"/>
    <mergeCell ref="K86:K93"/>
    <mergeCell ref="K94:K101"/>
    <mergeCell ref="K102:K109"/>
    <mergeCell ref="K110:K117"/>
    <mergeCell ref="G13:I13"/>
    <mergeCell ref="J16:J23"/>
    <mergeCell ref="J24:J31"/>
    <mergeCell ref="I14:I15"/>
    <mergeCell ref="B145:B152"/>
    <mergeCell ref="B153:B160"/>
    <mergeCell ref="B86:B93"/>
    <mergeCell ref="B94:B101"/>
    <mergeCell ref="B121:B128"/>
    <mergeCell ref="B129:B136"/>
    <mergeCell ref="B75:B82"/>
    <mergeCell ref="B83:B85"/>
    <mergeCell ref="B102:B109"/>
    <mergeCell ref="B110:B117"/>
    <mergeCell ref="B118:B120"/>
    <mergeCell ref="N13:N15"/>
    <mergeCell ref="N24:N31"/>
    <mergeCell ref="N32:N39"/>
    <mergeCell ref="N40:N42"/>
    <mergeCell ref="N43:N50"/>
    <mergeCell ref="N51:N58"/>
    <mergeCell ref="N59:N66"/>
    <mergeCell ref="N67:N74"/>
    <mergeCell ref="B137:B144"/>
    <mergeCell ref="B13:B15"/>
    <mergeCell ref="B16:B23"/>
    <mergeCell ref="B24:B31"/>
    <mergeCell ref="B32:B39"/>
    <mergeCell ref="B51:B58"/>
    <mergeCell ref="B59:B66"/>
    <mergeCell ref="B67:B74"/>
    <mergeCell ref="B40:B42"/>
    <mergeCell ref="B43:B50"/>
    <mergeCell ref="K129:K136"/>
    <mergeCell ref="K137:K144"/>
    <mergeCell ref="F13:F15"/>
    <mergeCell ref="C16:C23"/>
    <mergeCell ref="D16:D23"/>
    <mergeCell ref="F16:F23"/>
    <mergeCell ref="N137:N144"/>
    <mergeCell ref="N145:N152"/>
    <mergeCell ref="N153:N160"/>
    <mergeCell ref="N75:N82"/>
    <mergeCell ref="N83:N85"/>
    <mergeCell ref="N86:N93"/>
    <mergeCell ref="N94:N101"/>
    <mergeCell ref="N102:N109"/>
    <mergeCell ref="N110:N117"/>
    <mergeCell ref="N118:N120"/>
    <mergeCell ref="N121:N128"/>
    <mergeCell ref="N129:N136"/>
  </mergeCells>
  <dataValidations count="1">
    <dataValidation type="list" allowBlank="1" showInputMessage="1" showErrorMessage="1" sqref="F86:F117 J121:J160 J16:J39 F43:F82 J86:J117 F16:F39 J43:J82 F121:F160" xr:uid="{00000000-0002-0000-0300-000000000000}">
      <formula1>"1,2,3"</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3" tint="0.39997558519241921"/>
  </sheetPr>
  <dimension ref="B1:O198"/>
  <sheetViews>
    <sheetView showGridLines="0" topLeftCell="A69" zoomScale="110" zoomScaleNormal="110" workbookViewId="0">
      <selection activeCell="H77" sqref="H77"/>
    </sheetView>
  </sheetViews>
  <sheetFormatPr baseColWidth="10" defaultColWidth="3.140625" defaultRowHeight="22.5" customHeight="1"/>
  <cols>
    <col min="1" max="1" width="2.5703125" style="9" customWidth="1"/>
    <col min="2" max="2" width="4.42578125" style="9" hidden="1" customWidth="1"/>
    <col min="3" max="3" width="42.5703125" style="9" customWidth="1"/>
    <col min="4" max="4" width="42.5703125" style="9" hidden="1" customWidth="1"/>
    <col min="5" max="5" width="38" style="9" customWidth="1"/>
    <col min="6" max="6" width="7.42578125" style="9" customWidth="1"/>
    <col min="7" max="7" width="3.5703125" style="9" bestFit="1" customWidth="1"/>
    <col min="8" max="8" width="52.42578125" style="9" customWidth="1"/>
    <col min="9" max="9" width="45.28515625" style="98" customWidth="1"/>
    <col min="10" max="10" width="7.42578125" style="9" customWidth="1"/>
    <col min="11" max="11" width="26" style="9" customWidth="1"/>
    <col min="12" max="13" width="8" style="47" customWidth="1"/>
    <col min="14" max="14" width="12" style="47" customWidth="1"/>
    <col min="15" max="15" width="3.140625" style="29" customWidth="1"/>
    <col min="16" max="16363" width="3.140625" style="9" customWidth="1"/>
    <col min="16364" max="16384" width="3.140625" style="9"/>
  </cols>
  <sheetData>
    <row r="1" spans="3:11" ht="9.9499999999999993" customHeight="1"/>
    <row r="2" spans="3:11" ht="9.9499999999999993" customHeight="1"/>
    <row r="3" spans="3:11" ht="9.9499999999999993" customHeight="1"/>
    <row r="4" spans="3:11" ht="9.9499999999999993" customHeight="1"/>
    <row r="5" spans="3:11" ht="9.9499999999999993" customHeight="1"/>
    <row r="6" spans="3:11" ht="9.9499999999999993" customHeight="1"/>
    <row r="7" spans="3:11" ht="9.9499999999999993" customHeight="1"/>
    <row r="8" spans="3:11" ht="9.9499999999999993" customHeight="1"/>
    <row r="9" spans="3:11" ht="9.9499999999999993" customHeight="1"/>
    <row r="10" spans="3:11" ht="9.9499999999999993" customHeight="1"/>
    <row r="11" spans="3:11" ht="9.9499999999999993" customHeight="1"/>
    <row r="12" spans="3:11" ht="31.5" customHeight="1"/>
    <row r="13" spans="3:11" ht="24.75" customHeight="1"/>
    <row r="14" spans="3:11" ht="20.25" customHeight="1"/>
    <row r="15" spans="3:11" ht="20.100000000000001" customHeight="1">
      <c r="C15" s="691" t="s">
        <v>306</v>
      </c>
      <c r="D15" s="691"/>
      <c r="E15" s="691"/>
      <c r="F15" s="691"/>
      <c r="G15" s="691"/>
      <c r="H15" s="691"/>
      <c r="I15" s="691"/>
      <c r="J15" s="691"/>
      <c r="K15" s="691"/>
    </row>
    <row r="16" spans="3:11" ht="37.700000000000003" customHeight="1">
      <c r="C16" s="532" t="s">
        <v>307</v>
      </c>
      <c r="D16" s="532"/>
      <c r="E16" s="532"/>
      <c r="F16" s="532"/>
      <c r="G16" s="532"/>
      <c r="H16" s="532"/>
      <c r="I16" s="532"/>
      <c r="J16" s="532"/>
      <c r="K16" s="532"/>
    </row>
    <row r="17" spans="2:14" ht="9.9499999999999993" customHeight="1" thickBot="1">
      <c r="C17" s="10"/>
      <c r="D17" s="10"/>
      <c r="F17" s="11"/>
    </row>
    <row r="18" spans="2:14" ht="36.75" customHeight="1">
      <c r="B18" s="685" t="s">
        <v>111</v>
      </c>
      <c r="C18" s="711" t="s">
        <v>308</v>
      </c>
      <c r="D18" s="714" t="s">
        <v>8</v>
      </c>
      <c r="E18" s="714" t="s">
        <v>309</v>
      </c>
      <c r="F18" s="707" t="s">
        <v>252</v>
      </c>
      <c r="G18" s="717" t="s">
        <v>115</v>
      </c>
      <c r="H18" s="717"/>
      <c r="I18" s="717"/>
      <c r="J18" s="707" t="s">
        <v>310</v>
      </c>
      <c r="K18" s="694" t="s">
        <v>150</v>
      </c>
      <c r="L18" s="661"/>
      <c r="M18" s="661"/>
      <c r="N18" s="661"/>
    </row>
    <row r="19" spans="2:14" ht="29.25" customHeight="1">
      <c r="B19" s="686"/>
      <c r="C19" s="712"/>
      <c r="D19" s="715"/>
      <c r="E19" s="715"/>
      <c r="F19" s="708"/>
      <c r="G19" s="705" t="s">
        <v>13</v>
      </c>
      <c r="H19" s="715" t="s">
        <v>151</v>
      </c>
      <c r="I19" s="715" t="s">
        <v>118</v>
      </c>
      <c r="J19" s="708"/>
      <c r="K19" s="695"/>
      <c r="L19" s="661"/>
      <c r="M19" s="661"/>
      <c r="N19" s="661"/>
    </row>
    <row r="20" spans="2:14" ht="65.25" customHeight="1" thickBot="1">
      <c r="B20" s="687"/>
      <c r="C20" s="713"/>
      <c r="D20" s="716"/>
      <c r="E20" s="716"/>
      <c r="F20" s="709"/>
      <c r="G20" s="706"/>
      <c r="H20" s="706"/>
      <c r="I20" s="716"/>
      <c r="J20" s="709"/>
      <c r="K20" s="696"/>
      <c r="L20" s="661"/>
      <c r="M20" s="661"/>
      <c r="N20" s="661"/>
    </row>
    <row r="21" spans="2:14" ht="66">
      <c r="B21" s="460" t="str">
        <f>+LEFT(C21,4)</f>
        <v>10.1</v>
      </c>
      <c r="C21" s="700" t="s">
        <v>311</v>
      </c>
      <c r="D21" s="583" t="s">
        <v>286</v>
      </c>
      <c r="E21" s="703" t="s">
        <v>757</v>
      </c>
      <c r="F21" s="704">
        <v>3</v>
      </c>
      <c r="G21" s="265">
        <v>1</v>
      </c>
      <c r="H21" s="287" t="s">
        <v>312</v>
      </c>
      <c r="I21" s="670" t="s">
        <v>903</v>
      </c>
      <c r="J21" s="710">
        <v>3</v>
      </c>
      <c r="K21" s="591" t="str">
        <f>+IF(OR(ISBLANK(F21),ISBLANK(J21)),"",IF(OR(AND(F21=1,J21=1),AND(F21=1,J21=2),AND(F21=1,J21=3)),"Deficiencia de control mayor (diseño y ejecución)",IF(OR(AND(F21=2,J21=2),AND(F21=3,J21=1),AND(F21=3,J21=2),AND(F21=2,J21=1)),"Deficiencia de control (diseño o ejecución)",IF(AND(F21=2,J21=3),"Oportunidad de mejora","Mantenimiento del control"))))</f>
        <v>Mantenimiento del control</v>
      </c>
      <c r="L21" s="457">
        <f>+IF(K21="",152,IF(K21="Deficiencia de control mayor (diseño y ejecución)",160,IF(K21="Deficiencia de control (diseño o ejecución)",180,IF(K21="Oportunidad de mejora",200,220))))</f>
        <v>220</v>
      </c>
      <c r="M21" s="662">
        <v>3.4569000000000001</v>
      </c>
      <c r="N21" s="662">
        <f>+L21+M21</f>
        <v>223.45689999999999</v>
      </c>
    </row>
    <row r="22" spans="2:14" ht="49.5">
      <c r="B22" s="461"/>
      <c r="C22" s="701"/>
      <c r="D22" s="583"/>
      <c r="E22" s="624"/>
      <c r="F22" s="624"/>
      <c r="G22" s="267">
        <v>2</v>
      </c>
      <c r="H22" s="288" t="s">
        <v>313</v>
      </c>
      <c r="I22" s="668"/>
      <c r="J22" s="602"/>
      <c r="K22" s="573"/>
      <c r="L22" s="457"/>
      <c r="M22" s="662"/>
      <c r="N22" s="662"/>
    </row>
    <row r="23" spans="2:14" ht="49.5">
      <c r="B23" s="461"/>
      <c r="C23" s="701"/>
      <c r="D23" s="583"/>
      <c r="E23" s="624"/>
      <c r="F23" s="624"/>
      <c r="G23" s="267">
        <v>3</v>
      </c>
      <c r="H23" s="288" t="s">
        <v>902</v>
      </c>
      <c r="I23" s="668"/>
      <c r="J23" s="602"/>
      <c r="K23" s="573"/>
      <c r="L23" s="457"/>
      <c r="M23" s="662"/>
      <c r="N23" s="662"/>
    </row>
    <row r="24" spans="2:14" ht="39.75" customHeight="1">
      <c r="B24" s="461"/>
      <c r="C24" s="701"/>
      <c r="D24" s="583"/>
      <c r="E24" s="624"/>
      <c r="F24" s="624"/>
      <c r="G24" s="267">
        <v>4</v>
      </c>
      <c r="H24" s="267"/>
      <c r="I24" s="668"/>
      <c r="J24" s="602"/>
      <c r="K24" s="573"/>
      <c r="L24" s="457"/>
      <c r="M24" s="662"/>
      <c r="N24" s="662"/>
    </row>
    <row r="25" spans="2:14" ht="36.75" customHeight="1">
      <c r="B25" s="461"/>
      <c r="C25" s="701"/>
      <c r="D25" s="583"/>
      <c r="E25" s="624"/>
      <c r="F25" s="624"/>
      <c r="G25" s="267">
        <v>5</v>
      </c>
      <c r="H25" s="267"/>
      <c r="I25" s="668"/>
      <c r="J25" s="602"/>
      <c r="K25" s="573"/>
      <c r="L25" s="457"/>
      <c r="M25" s="662"/>
      <c r="N25" s="662"/>
    </row>
    <row r="26" spans="2:14" ht="37.5" customHeight="1">
      <c r="B26" s="461"/>
      <c r="C26" s="701"/>
      <c r="D26" s="583"/>
      <c r="E26" s="624"/>
      <c r="F26" s="624"/>
      <c r="G26" s="267">
        <v>6</v>
      </c>
      <c r="H26" s="267"/>
      <c r="I26" s="668"/>
      <c r="J26" s="602"/>
      <c r="K26" s="573"/>
      <c r="L26" s="457"/>
      <c r="M26" s="662"/>
      <c r="N26" s="662"/>
    </row>
    <row r="27" spans="2:14" ht="37.5" customHeight="1">
      <c r="B27" s="461"/>
      <c r="C27" s="701"/>
      <c r="D27" s="583"/>
      <c r="E27" s="624"/>
      <c r="F27" s="624"/>
      <c r="G27" s="267">
        <v>7</v>
      </c>
      <c r="H27" s="267"/>
      <c r="I27" s="668"/>
      <c r="J27" s="602"/>
      <c r="K27" s="573"/>
      <c r="L27" s="457"/>
      <c r="M27" s="662"/>
      <c r="N27" s="662"/>
    </row>
    <row r="28" spans="2:14" ht="45" customHeight="1" thickBot="1">
      <c r="B28" s="462"/>
      <c r="C28" s="702"/>
      <c r="D28" s="584"/>
      <c r="E28" s="625"/>
      <c r="F28" s="625"/>
      <c r="G28" s="289">
        <v>8</v>
      </c>
      <c r="H28" s="289"/>
      <c r="I28" s="669"/>
      <c r="J28" s="603"/>
      <c r="K28" s="592"/>
      <c r="L28" s="457"/>
      <c r="M28" s="662"/>
      <c r="N28" s="662"/>
    </row>
    <row r="29" spans="2:14" ht="50.25" customHeight="1">
      <c r="B29" s="460" t="str">
        <f>+LEFT(C29,4)</f>
        <v>10.2</v>
      </c>
      <c r="C29" s="731" t="s">
        <v>314</v>
      </c>
      <c r="D29" s="582" t="s">
        <v>286</v>
      </c>
      <c r="E29" s="623" t="s">
        <v>759</v>
      </c>
      <c r="F29" s="729">
        <v>3</v>
      </c>
      <c r="G29" s="290">
        <v>1</v>
      </c>
      <c r="H29" s="113" t="s">
        <v>814</v>
      </c>
      <c r="I29" s="754" t="s">
        <v>758</v>
      </c>
      <c r="J29" s="601">
        <v>3</v>
      </c>
      <c r="K29" s="572" t="str">
        <f>+IF(OR(ISBLANK(F29),ISBLANK(J29)),"",IF(OR(AND(F29=1,J29=1),AND(F29=1,J29=2),AND(F29=1,J29=3)),"Deficiencia de control mayor (diseño y ejecución)",IF(OR(AND(F29=2,J29=2),AND(F29=3,J29=1),AND(F29=3,J29=2),AND(F29=2,J29=1)),"Deficiencia de control (diseño o ejecución)",IF(AND(F29=2,J29=3),"Oportunidad de mejora","Mantenimiento del control"))))</f>
        <v>Mantenimiento del control</v>
      </c>
      <c r="L29" s="457">
        <f>+IF(K29="",152,IF(K29="Deficiencia de control mayor (diseño y ejecución)",160,IF(K29="Deficiencia de control (diseño o ejecución)",180,IF(K29="Oportunidad de mejora",200,220))))</f>
        <v>220</v>
      </c>
      <c r="M29" s="662">
        <v>3.5478000000000001</v>
      </c>
      <c r="N29" s="662">
        <f>+L29+M29</f>
        <v>223.5478</v>
      </c>
    </row>
    <row r="30" spans="2:14" ht="86.25" customHeight="1">
      <c r="B30" s="461"/>
      <c r="C30" s="701"/>
      <c r="D30" s="583"/>
      <c r="E30" s="624"/>
      <c r="F30" s="624"/>
      <c r="G30" s="267">
        <v>2</v>
      </c>
      <c r="H30" s="287" t="s">
        <v>312</v>
      </c>
      <c r="I30" s="755"/>
      <c r="J30" s="602"/>
      <c r="K30" s="573"/>
      <c r="L30" s="457"/>
      <c r="M30" s="662"/>
      <c r="N30" s="662"/>
    </row>
    <row r="31" spans="2:14" ht="21" customHeight="1">
      <c r="B31" s="461"/>
      <c r="C31" s="701"/>
      <c r="D31" s="583"/>
      <c r="E31" s="624"/>
      <c r="F31" s="624"/>
      <c r="G31" s="267">
        <v>3</v>
      </c>
      <c r="H31" s="281"/>
      <c r="I31" s="755"/>
      <c r="J31" s="602"/>
      <c r="K31" s="573"/>
      <c r="L31" s="457"/>
      <c r="M31" s="662"/>
      <c r="N31" s="662"/>
    </row>
    <row r="32" spans="2:14" ht="21" customHeight="1">
      <c r="B32" s="461"/>
      <c r="C32" s="701"/>
      <c r="D32" s="583"/>
      <c r="E32" s="624"/>
      <c r="F32" s="624"/>
      <c r="G32" s="267">
        <v>4</v>
      </c>
      <c r="H32" s="281"/>
      <c r="I32" s="755"/>
      <c r="J32" s="602"/>
      <c r="K32" s="573"/>
      <c r="L32" s="457"/>
      <c r="M32" s="662"/>
      <c r="N32" s="662"/>
    </row>
    <row r="33" spans="2:14" ht="21" customHeight="1">
      <c r="B33" s="461"/>
      <c r="C33" s="701"/>
      <c r="D33" s="583"/>
      <c r="E33" s="624"/>
      <c r="F33" s="624"/>
      <c r="G33" s="267">
        <v>5</v>
      </c>
      <c r="H33" s="281"/>
      <c r="I33" s="755"/>
      <c r="J33" s="602"/>
      <c r="K33" s="573"/>
      <c r="L33" s="457"/>
      <c r="M33" s="662"/>
      <c r="N33" s="662"/>
    </row>
    <row r="34" spans="2:14" ht="21" customHeight="1">
      <c r="B34" s="461"/>
      <c r="C34" s="701"/>
      <c r="D34" s="583"/>
      <c r="E34" s="624"/>
      <c r="F34" s="624"/>
      <c r="G34" s="267">
        <v>6</v>
      </c>
      <c r="H34" s="281"/>
      <c r="I34" s="755"/>
      <c r="J34" s="602"/>
      <c r="K34" s="573"/>
      <c r="L34" s="457"/>
      <c r="M34" s="662"/>
      <c r="N34" s="662"/>
    </row>
    <row r="35" spans="2:14" ht="21" customHeight="1">
      <c r="B35" s="461"/>
      <c r="C35" s="701"/>
      <c r="D35" s="583"/>
      <c r="E35" s="624"/>
      <c r="F35" s="624"/>
      <c r="G35" s="267">
        <v>7</v>
      </c>
      <c r="H35" s="281"/>
      <c r="I35" s="755"/>
      <c r="J35" s="602"/>
      <c r="K35" s="573"/>
      <c r="L35" s="457"/>
      <c r="M35" s="662"/>
      <c r="N35" s="662"/>
    </row>
    <row r="36" spans="2:14" ht="21" customHeight="1" thickBot="1">
      <c r="B36" s="462"/>
      <c r="C36" s="702"/>
      <c r="D36" s="584"/>
      <c r="E36" s="625"/>
      <c r="F36" s="625"/>
      <c r="G36" s="289">
        <v>8</v>
      </c>
      <c r="H36" s="282"/>
      <c r="I36" s="756"/>
      <c r="J36" s="603"/>
      <c r="K36" s="592"/>
      <c r="L36" s="457"/>
      <c r="M36" s="662"/>
      <c r="N36" s="662"/>
    </row>
    <row r="37" spans="2:14" ht="49.5" customHeight="1">
      <c r="B37" s="460" t="str">
        <f>+LEFT(C37,4)</f>
        <v>10.3</v>
      </c>
      <c r="C37" s="739" t="s">
        <v>315</v>
      </c>
      <c r="D37" s="582" t="s">
        <v>316</v>
      </c>
      <c r="E37" s="623" t="s">
        <v>760</v>
      </c>
      <c r="F37" s="729">
        <v>3</v>
      </c>
      <c r="G37" s="290">
        <v>1</v>
      </c>
      <c r="H37" s="113" t="s">
        <v>904</v>
      </c>
      <c r="I37" s="670" t="s">
        <v>880</v>
      </c>
      <c r="J37" s="601">
        <v>3</v>
      </c>
      <c r="K37" s="572" t="str">
        <f>+IF(OR(ISBLANK(F37),ISBLANK(J37)),"",IF(OR(AND(F37=1,J37=1),AND(F37=1,J37=2),AND(F37=1,J37=3)),"Deficiencia de control mayor (diseño y ejecución)",IF(OR(AND(F37=2,J37=2),AND(F37=3,J37=1),AND(F37=3,J37=2),AND(F37=2,J37=1)),"Deficiencia de control (diseño o ejecución)",IF(AND(F37=2,J37=3),"Oportunidad de mejora","Mantenimiento del control"))))</f>
        <v>Mantenimiento del control</v>
      </c>
      <c r="L37" s="457">
        <f>+IF(K37="",152,IF(K37="Deficiencia de control mayor (diseño y ejecución)",160,IF(K37="Deficiencia de control (diseño o ejecución)",180,IF(K37="Oportunidad de mejora",200,220))))</f>
        <v>220</v>
      </c>
      <c r="M37" s="662">
        <v>3.6457999999999999</v>
      </c>
      <c r="N37" s="662">
        <f>+L37+M37</f>
        <v>223.64580000000001</v>
      </c>
    </row>
    <row r="38" spans="2:14" ht="39" customHeight="1">
      <c r="B38" s="461"/>
      <c r="C38" s="740"/>
      <c r="D38" s="583"/>
      <c r="E38" s="624"/>
      <c r="F38" s="624"/>
      <c r="G38" s="267">
        <v>2</v>
      </c>
      <c r="H38" s="114" t="s">
        <v>761</v>
      </c>
      <c r="I38" s="668"/>
      <c r="J38" s="602"/>
      <c r="K38" s="573"/>
      <c r="L38" s="457"/>
      <c r="M38" s="662"/>
      <c r="N38" s="662"/>
    </row>
    <row r="39" spans="2:14" ht="32.25" customHeight="1">
      <c r="B39" s="461"/>
      <c r="C39" s="740"/>
      <c r="D39" s="583"/>
      <c r="E39" s="624"/>
      <c r="F39" s="624"/>
      <c r="G39" s="267">
        <v>3</v>
      </c>
      <c r="H39" s="114" t="s">
        <v>762</v>
      </c>
      <c r="I39" s="668"/>
      <c r="J39" s="602"/>
      <c r="K39" s="573"/>
      <c r="L39" s="457"/>
      <c r="M39" s="662"/>
      <c r="N39" s="662"/>
    </row>
    <row r="40" spans="2:14" ht="53.25" customHeight="1">
      <c r="B40" s="461"/>
      <c r="C40" s="740"/>
      <c r="D40" s="583"/>
      <c r="E40" s="624"/>
      <c r="F40" s="624"/>
      <c r="G40" s="267">
        <v>4</v>
      </c>
      <c r="H40" s="114" t="s">
        <v>317</v>
      </c>
      <c r="I40" s="668"/>
      <c r="J40" s="602"/>
      <c r="K40" s="573"/>
      <c r="L40" s="457"/>
      <c r="M40" s="662"/>
      <c r="N40" s="662"/>
    </row>
    <row r="41" spans="2:14" ht="63" customHeight="1">
      <c r="B41" s="461"/>
      <c r="C41" s="740"/>
      <c r="D41" s="583"/>
      <c r="E41" s="624"/>
      <c r="F41" s="624"/>
      <c r="G41" s="267">
        <v>5</v>
      </c>
      <c r="H41" s="114" t="s">
        <v>318</v>
      </c>
      <c r="I41" s="668"/>
      <c r="J41" s="602"/>
      <c r="K41" s="573"/>
      <c r="L41" s="457"/>
      <c r="M41" s="662"/>
      <c r="N41" s="662"/>
    </row>
    <row r="42" spans="2:14" ht="21" customHeight="1">
      <c r="B42" s="461"/>
      <c r="C42" s="740"/>
      <c r="D42" s="583"/>
      <c r="E42" s="624"/>
      <c r="F42" s="624"/>
      <c r="G42" s="267">
        <v>6</v>
      </c>
      <c r="H42" s="114"/>
      <c r="I42" s="668"/>
      <c r="J42" s="602"/>
      <c r="K42" s="573"/>
      <c r="L42" s="457"/>
      <c r="M42" s="662"/>
      <c r="N42" s="662"/>
    </row>
    <row r="43" spans="2:14" ht="21" customHeight="1">
      <c r="B43" s="461"/>
      <c r="C43" s="740"/>
      <c r="D43" s="583"/>
      <c r="E43" s="624"/>
      <c r="F43" s="624"/>
      <c r="G43" s="267">
        <v>7</v>
      </c>
      <c r="H43" s="114"/>
      <c r="I43" s="668"/>
      <c r="J43" s="602"/>
      <c r="K43" s="573"/>
      <c r="L43" s="457"/>
      <c r="M43" s="662"/>
      <c r="N43" s="662"/>
    </row>
    <row r="44" spans="2:14" ht="21" customHeight="1" thickBot="1">
      <c r="B44" s="462"/>
      <c r="C44" s="741"/>
      <c r="D44" s="584"/>
      <c r="E44" s="625"/>
      <c r="F44" s="625"/>
      <c r="G44" s="289">
        <v>8</v>
      </c>
      <c r="H44" s="291"/>
      <c r="I44" s="669"/>
      <c r="J44" s="603"/>
      <c r="K44" s="592"/>
      <c r="L44" s="457"/>
      <c r="M44" s="662"/>
      <c r="N44" s="662"/>
    </row>
    <row r="45" spans="2:14" ht="27" customHeight="1">
      <c r="B45" s="688"/>
      <c r="C45" s="711" t="s">
        <v>319</v>
      </c>
      <c r="D45" s="742" t="s">
        <v>8</v>
      </c>
      <c r="E45" s="736" t="s">
        <v>309</v>
      </c>
      <c r="F45" s="743" t="s">
        <v>252</v>
      </c>
      <c r="G45" s="745" t="s">
        <v>115</v>
      </c>
      <c r="H45" s="746"/>
      <c r="I45" s="746"/>
      <c r="J45" s="743" t="s">
        <v>310</v>
      </c>
      <c r="K45" s="697" t="s">
        <v>150</v>
      </c>
      <c r="L45" s="660"/>
      <c r="M45" s="660"/>
      <c r="N45" s="660"/>
    </row>
    <row r="46" spans="2:14" ht="33" customHeight="1">
      <c r="B46" s="689"/>
      <c r="C46" s="712"/>
      <c r="D46" s="733"/>
      <c r="E46" s="737"/>
      <c r="F46" s="718"/>
      <c r="G46" s="723" t="s">
        <v>13</v>
      </c>
      <c r="H46" s="727" t="s">
        <v>151</v>
      </c>
      <c r="I46" s="727" t="s">
        <v>118</v>
      </c>
      <c r="J46" s="718"/>
      <c r="K46" s="698"/>
      <c r="L46" s="660"/>
      <c r="M46" s="660"/>
      <c r="N46" s="660"/>
    </row>
    <row r="47" spans="2:14" ht="75" customHeight="1" thickBot="1">
      <c r="B47" s="690"/>
      <c r="C47" s="713"/>
      <c r="D47" s="734"/>
      <c r="E47" s="738"/>
      <c r="F47" s="744"/>
      <c r="G47" s="747"/>
      <c r="H47" s="730"/>
      <c r="I47" s="728"/>
      <c r="J47" s="744"/>
      <c r="K47" s="699"/>
      <c r="L47" s="660"/>
      <c r="M47" s="660"/>
      <c r="N47" s="660"/>
    </row>
    <row r="48" spans="2:14" ht="84" customHeight="1">
      <c r="B48" s="460" t="str">
        <f>+LEFT(C48,4)</f>
        <v>11.1</v>
      </c>
      <c r="C48" s="731" t="s">
        <v>320</v>
      </c>
      <c r="D48" s="582" t="s">
        <v>321</v>
      </c>
      <c r="E48" s="650" t="s">
        <v>905</v>
      </c>
      <c r="F48" s="750">
        <v>3</v>
      </c>
      <c r="G48" s="290">
        <v>1</v>
      </c>
      <c r="H48" s="292" t="s">
        <v>322</v>
      </c>
      <c r="I48" s="670" t="s">
        <v>763</v>
      </c>
      <c r="J48" s="601">
        <v>3</v>
      </c>
      <c r="K48" s="572" t="str">
        <f>+IF(OR(ISBLANK(F48),ISBLANK(J48)),"",IF(OR(AND(F48=1,J48=1),AND(F48=1,J48=2),AND(F48=1,J48=3)),"Deficiencia de control mayor (diseño y ejecución)",IF(OR(AND(F48=2,J48=2),AND(F48=3,J48=1),AND(F48=3,J48=2),AND(F48=2,J48=1)),"Deficiencia de control (diseño o ejecución)",IF(AND(F48=2,J48=3),"Oportunidad de mejora","Mantenimiento del control"))))</f>
        <v>Mantenimiento del control</v>
      </c>
      <c r="L48" s="457">
        <f>+IF(K48="",152,IF(K48="Deficiencia de control mayor (diseño y ejecución)",160,IF(K48="Deficiencia de control (diseño o ejecución)",180,IF(K48="Oportunidad de mejora",200,220))))</f>
        <v>220</v>
      </c>
      <c r="M48" s="662">
        <v>3.7896000000000001</v>
      </c>
      <c r="N48" s="662">
        <f>+L48+M48</f>
        <v>223.78960000000001</v>
      </c>
    </row>
    <row r="49" spans="2:14" ht="37.5" customHeight="1">
      <c r="B49" s="461"/>
      <c r="C49" s="701"/>
      <c r="D49" s="583"/>
      <c r="E49" s="748"/>
      <c r="F49" s="751"/>
      <c r="G49" s="267">
        <v>2</v>
      </c>
      <c r="H49" s="293" t="s">
        <v>323</v>
      </c>
      <c r="I49" s="668"/>
      <c r="J49" s="602"/>
      <c r="K49" s="573"/>
      <c r="L49" s="457"/>
      <c r="M49" s="662"/>
      <c r="N49" s="662"/>
    </row>
    <row r="50" spans="2:14" ht="37.5" customHeight="1">
      <c r="B50" s="461"/>
      <c r="C50" s="701"/>
      <c r="D50" s="583"/>
      <c r="E50" s="748"/>
      <c r="F50" s="751"/>
      <c r="G50" s="267">
        <v>3</v>
      </c>
      <c r="H50" s="293" t="s">
        <v>324</v>
      </c>
      <c r="I50" s="668"/>
      <c r="J50" s="602"/>
      <c r="K50" s="573"/>
      <c r="L50" s="457"/>
      <c r="M50" s="662"/>
      <c r="N50" s="662"/>
    </row>
    <row r="51" spans="2:14" ht="56.25" customHeight="1">
      <c r="B51" s="461"/>
      <c r="C51" s="701"/>
      <c r="D51" s="583"/>
      <c r="E51" s="748"/>
      <c r="F51" s="751"/>
      <c r="G51" s="267">
        <v>4</v>
      </c>
      <c r="H51" s="294" t="s">
        <v>325</v>
      </c>
      <c r="I51" s="668"/>
      <c r="J51" s="602"/>
      <c r="K51" s="573"/>
      <c r="L51" s="457"/>
      <c r="M51" s="662"/>
      <c r="N51" s="662"/>
    </row>
    <row r="52" spans="2:14" ht="51.75" customHeight="1">
      <c r="B52" s="461"/>
      <c r="C52" s="701"/>
      <c r="D52" s="583"/>
      <c r="E52" s="748"/>
      <c r="F52" s="751"/>
      <c r="G52" s="267">
        <v>5</v>
      </c>
      <c r="H52" s="294" t="s">
        <v>326</v>
      </c>
      <c r="I52" s="668"/>
      <c r="J52" s="602"/>
      <c r="K52" s="573"/>
      <c r="L52" s="457"/>
      <c r="M52" s="662"/>
      <c r="N52" s="662"/>
    </row>
    <row r="53" spans="2:14" ht="54" customHeight="1">
      <c r="B53" s="461"/>
      <c r="C53" s="701"/>
      <c r="D53" s="583"/>
      <c r="E53" s="748"/>
      <c r="F53" s="751"/>
      <c r="G53" s="267">
        <v>6</v>
      </c>
      <c r="H53" s="294" t="s">
        <v>327</v>
      </c>
      <c r="I53" s="668"/>
      <c r="J53" s="602"/>
      <c r="K53" s="573"/>
      <c r="L53" s="457"/>
      <c r="M53" s="662"/>
      <c r="N53" s="662"/>
    </row>
    <row r="54" spans="2:14" ht="50.25" customHeight="1">
      <c r="B54" s="461"/>
      <c r="C54" s="701"/>
      <c r="D54" s="583"/>
      <c r="E54" s="748"/>
      <c r="F54" s="751"/>
      <c r="G54" s="267">
        <v>7</v>
      </c>
      <c r="H54" s="294" t="s">
        <v>328</v>
      </c>
      <c r="I54" s="668"/>
      <c r="J54" s="602"/>
      <c r="K54" s="573"/>
      <c r="L54" s="457"/>
      <c r="M54" s="662"/>
      <c r="N54" s="662"/>
    </row>
    <row r="55" spans="2:14" ht="129" customHeight="1" thickBot="1">
      <c r="B55" s="462"/>
      <c r="C55" s="702"/>
      <c r="D55" s="584"/>
      <c r="E55" s="749"/>
      <c r="F55" s="752"/>
      <c r="G55" s="289">
        <v>8</v>
      </c>
      <c r="H55" s="294" t="s">
        <v>329</v>
      </c>
      <c r="I55" s="669"/>
      <c r="J55" s="603"/>
      <c r="K55" s="592"/>
      <c r="L55" s="457"/>
      <c r="M55" s="662"/>
      <c r="N55" s="662"/>
    </row>
    <row r="56" spans="2:14" ht="36" customHeight="1">
      <c r="B56" s="460" t="str">
        <f>+LEFT(C56,4)</f>
        <v>11.2</v>
      </c>
      <c r="C56" s="731" t="s">
        <v>330</v>
      </c>
      <c r="D56" s="582" t="s">
        <v>321</v>
      </c>
      <c r="E56" s="640" t="s">
        <v>764</v>
      </c>
      <c r="F56" s="601">
        <v>3</v>
      </c>
      <c r="G56" s="70">
        <v>1</v>
      </c>
      <c r="H56" s="108" t="s">
        <v>765</v>
      </c>
      <c r="I56" s="670" t="s">
        <v>906</v>
      </c>
      <c r="J56" s="601">
        <v>3</v>
      </c>
      <c r="K56" s="572" t="str">
        <f>+IF(OR(ISBLANK(F56),ISBLANK(J56)),"",IF(OR(AND(F56=1,J56=1),AND(F56=1,J56=2),AND(F56=1,J56=3)),"Deficiencia de control mayor (diseño y ejecución)",IF(OR(AND(F56=2,J56=2),AND(F56=3,J56=1),AND(F56=3,J56=2),AND(F56=2,J56=1)),"Deficiencia de control (diseño o ejecución)",IF(AND(F56=2,J56=3),"Oportunidad de mejora","Mantenimiento del control"))))</f>
        <v>Mantenimiento del control</v>
      </c>
      <c r="L56" s="457">
        <f>+IF(K56="",152,IF(K56="Deficiencia de control mayor (diseño y ejecución)",160,IF(K56="Deficiencia de control (diseño o ejecución)",180,IF(K56="Oportunidad de mejora",200,220))))</f>
        <v>220</v>
      </c>
      <c r="M56" s="662">
        <v>3.8456000000000001</v>
      </c>
      <c r="N56" s="662">
        <f>+L56+M56</f>
        <v>223.84559999999999</v>
      </c>
    </row>
    <row r="57" spans="2:14" ht="36" customHeight="1">
      <c r="B57" s="461"/>
      <c r="C57" s="701"/>
      <c r="D57" s="583"/>
      <c r="E57" s="586"/>
      <c r="F57" s="602"/>
      <c r="G57" s="68">
        <v>2</v>
      </c>
      <c r="H57" s="109" t="s">
        <v>323</v>
      </c>
      <c r="I57" s="668"/>
      <c r="J57" s="602"/>
      <c r="K57" s="573"/>
      <c r="L57" s="457"/>
      <c r="M57" s="662"/>
      <c r="N57" s="662"/>
    </row>
    <row r="58" spans="2:14" ht="33.75" customHeight="1">
      <c r="B58" s="461"/>
      <c r="C58" s="701"/>
      <c r="D58" s="583"/>
      <c r="E58" s="586"/>
      <c r="F58" s="602"/>
      <c r="G58" s="68">
        <v>3</v>
      </c>
      <c r="H58" s="109" t="s">
        <v>331</v>
      </c>
      <c r="I58" s="668"/>
      <c r="J58" s="602"/>
      <c r="K58" s="573"/>
      <c r="L58" s="457"/>
      <c r="M58" s="662"/>
      <c r="N58" s="662"/>
    </row>
    <row r="59" spans="2:14" ht="48.75" customHeight="1">
      <c r="B59" s="461"/>
      <c r="C59" s="701"/>
      <c r="D59" s="583"/>
      <c r="E59" s="586"/>
      <c r="F59" s="602"/>
      <c r="G59" s="68">
        <v>4</v>
      </c>
      <c r="H59" s="109" t="s">
        <v>332</v>
      </c>
      <c r="I59" s="668"/>
      <c r="J59" s="602"/>
      <c r="K59" s="573"/>
      <c r="L59" s="457"/>
      <c r="M59" s="662"/>
      <c r="N59" s="662"/>
    </row>
    <row r="60" spans="2:14" ht="54" customHeight="1">
      <c r="B60" s="461"/>
      <c r="C60" s="701"/>
      <c r="D60" s="583"/>
      <c r="E60" s="586"/>
      <c r="F60" s="602"/>
      <c r="G60" s="68">
        <v>5</v>
      </c>
      <c r="H60" s="109" t="s">
        <v>333</v>
      </c>
      <c r="I60" s="668"/>
      <c r="J60" s="602"/>
      <c r="K60" s="573"/>
      <c r="L60" s="457"/>
      <c r="M60" s="662"/>
      <c r="N60" s="662"/>
    </row>
    <row r="61" spans="2:14" ht="42" customHeight="1">
      <c r="B61" s="461"/>
      <c r="C61" s="701"/>
      <c r="D61" s="583"/>
      <c r="E61" s="586"/>
      <c r="F61" s="602"/>
      <c r="G61" s="68">
        <v>6</v>
      </c>
      <c r="H61" s="109"/>
      <c r="I61" s="668"/>
      <c r="J61" s="602"/>
      <c r="K61" s="573"/>
      <c r="L61" s="457"/>
      <c r="M61" s="662"/>
      <c r="N61" s="662"/>
    </row>
    <row r="62" spans="2:14" ht="46.5" customHeight="1">
      <c r="B62" s="461"/>
      <c r="C62" s="701"/>
      <c r="D62" s="583"/>
      <c r="E62" s="586"/>
      <c r="F62" s="602"/>
      <c r="G62" s="68">
        <v>7</v>
      </c>
      <c r="H62" s="68"/>
      <c r="I62" s="668"/>
      <c r="J62" s="602"/>
      <c r="K62" s="573"/>
      <c r="L62" s="457"/>
      <c r="M62" s="662"/>
      <c r="N62" s="662"/>
    </row>
    <row r="63" spans="2:14" ht="34.5" customHeight="1" thickBot="1">
      <c r="B63" s="462"/>
      <c r="C63" s="702"/>
      <c r="D63" s="584"/>
      <c r="E63" s="587"/>
      <c r="F63" s="603"/>
      <c r="G63" s="69">
        <v>8</v>
      </c>
      <c r="H63" s="69"/>
      <c r="I63" s="669"/>
      <c r="J63" s="603"/>
      <c r="K63" s="592"/>
      <c r="L63" s="457"/>
      <c r="M63" s="662"/>
      <c r="N63" s="662"/>
    </row>
    <row r="64" spans="2:14" ht="66">
      <c r="B64" s="460" t="str">
        <f>+LEFT(C64,4)</f>
        <v>11.3</v>
      </c>
      <c r="C64" s="731" t="s">
        <v>334</v>
      </c>
      <c r="D64" s="582" t="s">
        <v>335</v>
      </c>
      <c r="E64" s="640" t="s">
        <v>766</v>
      </c>
      <c r="F64" s="601">
        <v>3</v>
      </c>
      <c r="G64" s="70">
        <v>1</v>
      </c>
      <c r="H64" s="100" t="s">
        <v>767</v>
      </c>
      <c r="I64" s="670" t="s">
        <v>927</v>
      </c>
      <c r="J64" s="720">
        <v>2</v>
      </c>
      <c r="K64" s="572" t="str">
        <f>+IF(OR(ISBLANK(F64),ISBLANK(J64)),"",IF(OR(AND(F64=1,J64=1),AND(F64=1,J64=2),AND(F64=1,J64=3)),"Deficiencia de control mayor (diseño y ejecución)",IF(OR(AND(F64=2,J64=2),AND(F64=3,J64=1),AND(F64=3,J64=2),AND(F64=2,J64=1)),"Deficiencia de control (diseño o ejecución)",IF(AND(F64=2,J64=3),"Oportunidad de mejora","Mantenimiento del control"))))</f>
        <v>Deficiencia de control (diseño o ejecución)</v>
      </c>
      <c r="L64" s="457">
        <f>+IF(K64="",152,IF(K64="Deficiencia de control mayor (diseño y ejecución)",160,IF(K64="Deficiencia de control (diseño o ejecución)",180,IF(K64="Oportunidad de mejora",200,220))))</f>
        <v>180</v>
      </c>
      <c r="M64" s="662">
        <v>3.9653999999999998</v>
      </c>
      <c r="N64" s="662">
        <f>+L64+M64</f>
        <v>183.96539999999999</v>
      </c>
    </row>
    <row r="65" spans="2:14" ht="115.5">
      <c r="B65" s="461"/>
      <c r="C65" s="701"/>
      <c r="D65" s="583"/>
      <c r="E65" s="586"/>
      <c r="F65" s="602"/>
      <c r="G65" s="68">
        <v>2</v>
      </c>
      <c r="H65" s="96" t="s">
        <v>768</v>
      </c>
      <c r="I65" s="757"/>
      <c r="J65" s="721"/>
      <c r="K65" s="573"/>
      <c r="L65" s="457"/>
      <c r="M65" s="662"/>
      <c r="N65" s="662"/>
    </row>
    <row r="66" spans="2:14" ht="66.75" thickBot="1">
      <c r="B66" s="461"/>
      <c r="C66" s="701"/>
      <c r="D66" s="583"/>
      <c r="E66" s="586"/>
      <c r="F66" s="602"/>
      <c r="G66" s="68">
        <v>3</v>
      </c>
      <c r="H66" s="96" t="s">
        <v>336</v>
      </c>
      <c r="I66" s="757"/>
      <c r="J66" s="721"/>
      <c r="K66" s="573"/>
      <c r="L66" s="457"/>
      <c r="M66" s="662"/>
      <c r="N66" s="662"/>
    </row>
    <row r="67" spans="2:14" ht="16.5">
      <c r="B67" s="461"/>
      <c r="C67" s="701"/>
      <c r="D67" s="583"/>
      <c r="E67" s="586"/>
      <c r="F67" s="602"/>
      <c r="G67" s="68">
        <v>4</v>
      </c>
      <c r="H67" s="111" t="s">
        <v>337</v>
      </c>
      <c r="I67" s="757"/>
      <c r="J67" s="721"/>
      <c r="K67" s="573"/>
      <c r="L67" s="457"/>
      <c r="M67" s="662"/>
      <c r="N67" s="662"/>
    </row>
    <row r="68" spans="2:14" ht="16.5">
      <c r="B68" s="461"/>
      <c r="C68" s="701"/>
      <c r="D68" s="583"/>
      <c r="E68" s="586"/>
      <c r="F68" s="602"/>
      <c r="G68" s="68">
        <v>5</v>
      </c>
      <c r="H68" s="112" t="s">
        <v>338</v>
      </c>
      <c r="I68" s="757"/>
      <c r="J68" s="721"/>
      <c r="K68" s="573"/>
      <c r="L68" s="457"/>
      <c r="M68" s="662"/>
      <c r="N68" s="662"/>
    </row>
    <row r="69" spans="2:14" ht="16.5">
      <c r="B69" s="461"/>
      <c r="C69" s="701"/>
      <c r="D69" s="583"/>
      <c r="E69" s="586"/>
      <c r="F69" s="602"/>
      <c r="G69" s="68">
        <v>6</v>
      </c>
      <c r="H69" s="68"/>
      <c r="I69" s="757"/>
      <c r="J69" s="721"/>
      <c r="K69" s="573"/>
      <c r="L69" s="457"/>
      <c r="M69" s="662"/>
      <c r="N69" s="662"/>
    </row>
    <row r="70" spans="2:14" ht="21.75" customHeight="1">
      <c r="B70" s="461"/>
      <c r="C70" s="701"/>
      <c r="D70" s="583"/>
      <c r="E70" s="586"/>
      <c r="F70" s="602"/>
      <c r="G70" s="68">
        <v>7</v>
      </c>
      <c r="H70" s="68"/>
      <c r="I70" s="757"/>
      <c r="J70" s="721"/>
      <c r="K70" s="573"/>
      <c r="L70" s="457"/>
      <c r="M70" s="662"/>
      <c r="N70" s="662"/>
    </row>
    <row r="71" spans="2:14" ht="21.75" customHeight="1" thickBot="1">
      <c r="B71" s="462"/>
      <c r="C71" s="702"/>
      <c r="D71" s="584"/>
      <c r="E71" s="587"/>
      <c r="F71" s="603"/>
      <c r="G71" s="69">
        <v>8</v>
      </c>
      <c r="H71" s="69"/>
      <c r="I71" s="758"/>
      <c r="J71" s="722"/>
      <c r="K71" s="592"/>
      <c r="L71" s="457"/>
      <c r="M71" s="662"/>
      <c r="N71" s="662"/>
    </row>
    <row r="72" spans="2:14" ht="49.5">
      <c r="B72" s="460" t="str">
        <f>+LEFT(C72,4)</f>
        <v>11.4</v>
      </c>
      <c r="C72" s="731" t="s">
        <v>339</v>
      </c>
      <c r="D72" s="582" t="s">
        <v>340</v>
      </c>
      <c r="E72" s="623" t="s">
        <v>815</v>
      </c>
      <c r="F72" s="601">
        <v>3</v>
      </c>
      <c r="G72" s="70">
        <v>1</v>
      </c>
      <c r="H72" s="108" t="s">
        <v>816</v>
      </c>
      <c r="I72" s="650" t="s">
        <v>907</v>
      </c>
      <c r="J72" s="601">
        <v>3</v>
      </c>
      <c r="K72" s="572" t="str">
        <f>+IF(OR(ISBLANK(F72),ISBLANK(J72)),"",IF(OR(AND(F72=1,J72=1),AND(F72=1,J72=2),AND(F72=1,J72=3)),"Deficiencia de control mayor (diseño y ejecución)",IF(OR(AND(F72=2,J72=2),AND(F72=3,J72=1),AND(F72=3,J72=2),AND(F72=2,J72=1)),"Deficiencia de control (diseño o ejecución)",IF(AND(F72=2,J72=3),"Oportunidad de mejora","Mantenimiento del control"))))</f>
        <v>Mantenimiento del control</v>
      </c>
      <c r="L72" s="457">
        <f>+IF(K72="",152,IF(K72="Deficiencia de control mayor (diseño y ejecución)",160,IF(K72="Deficiencia de control (diseño o ejecución)",180,IF(K72="Oportunidad de mejora",200,220))))</f>
        <v>220</v>
      </c>
      <c r="M72" s="662">
        <v>4.0122999999999998</v>
      </c>
      <c r="N72" s="662">
        <f>+L72+M72</f>
        <v>224.01230000000001</v>
      </c>
    </row>
    <row r="73" spans="2:14" ht="16.5">
      <c r="B73" s="461"/>
      <c r="C73" s="701"/>
      <c r="D73" s="583"/>
      <c r="E73" s="624"/>
      <c r="F73" s="602"/>
      <c r="G73" s="68">
        <v>2</v>
      </c>
      <c r="H73" s="283" t="s">
        <v>341</v>
      </c>
      <c r="I73" s="651"/>
      <c r="J73" s="602"/>
      <c r="K73" s="573"/>
      <c r="L73" s="457"/>
      <c r="M73" s="662"/>
      <c r="N73" s="662"/>
    </row>
    <row r="74" spans="2:14" ht="16.5">
      <c r="B74" s="461"/>
      <c r="C74" s="701"/>
      <c r="D74" s="583"/>
      <c r="E74" s="624"/>
      <c r="F74" s="602"/>
      <c r="G74" s="68">
        <v>3</v>
      </c>
      <c r="H74" s="284" t="s">
        <v>342</v>
      </c>
      <c r="I74" s="651"/>
      <c r="J74" s="602"/>
      <c r="K74" s="573"/>
      <c r="L74" s="457"/>
      <c r="M74" s="662"/>
      <c r="N74" s="662"/>
    </row>
    <row r="75" spans="2:14" ht="33">
      <c r="B75" s="461"/>
      <c r="C75" s="701"/>
      <c r="D75" s="583"/>
      <c r="E75" s="624"/>
      <c r="F75" s="602"/>
      <c r="G75" s="68">
        <v>4</v>
      </c>
      <c r="H75" s="109" t="s">
        <v>770</v>
      </c>
      <c r="I75" s="651"/>
      <c r="J75" s="602"/>
      <c r="K75" s="573"/>
      <c r="L75" s="457"/>
      <c r="M75" s="662"/>
      <c r="N75" s="662"/>
    </row>
    <row r="76" spans="2:14" ht="33">
      <c r="B76" s="461"/>
      <c r="C76" s="701"/>
      <c r="D76" s="583"/>
      <c r="E76" s="624"/>
      <c r="F76" s="602"/>
      <c r="G76" s="68">
        <v>5</v>
      </c>
      <c r="H76" s="109" t="s">
        <v>771</v>
      </c>
      <c r="I76" s="651"/>
      <c r="J76" s="602"/>
      <c r="K76" s="573"/>
      <c r="L76" s="457"/>
      <c r="M76" s="662"/>
      <c r="N76" s="662"/>
    </row>
    <row r="77" spans="2:14" ht="16.5">
      <c r="B77" s="461"/>
      <c r="C77" s="701"/>
      <c r="D77" s="583"/>
      <c r="E77" s="624"/>
      <c r="F77" s="602"/>
      <c r="G77" s="68">
        <v>6</v>
      </c>
      <c r="H77" s="285" t="s">
        <v>343</v>
      </c>
      <c r="I77" s="651"/>
      <c r="J77" s="602"/>
      <c r="K77" s="573"/>
      <c r="L77" s="457"/>
      <c r="M77" s="662"/>
      <c r="N77" s="662"/>
    </row>
    <row r="78" spans="2:14" ht="16.5">
      <c r="B78" s="461"/>
      <c r="C78" s="701"/>
      <c r="D78" s="583"/>
      <c r="E78" s="624"/>
      <c r="F78" s="602"/>
      <c r="G78" s="68">
        <v>7</v>
      </c>
      <c r="H78" s="102"/>
      <c r="I78" s="651"/>
      <c r="J78" s="602"/>
      <c r="K78" s="573"/>
      <c r="L78" s="457"/>
      <c r="M78" s="662"/>
      <c r="N78" s="662"/>
    </row>
    <row r="79" spans="2:14" ht="16.5">
      <c r="B79" s="462"/>
      <c r="C79" s="702"/>
      <c r="D79" s="584"/>
      <c r="E79" s="625"/>
      <c r="F79" s="603"/>
      <c r="G79" s="69">
        <v>8</v>
      </c>
      <c r="H79" s="103"/>
      <c r="I79" s="652"/>
      <c r="J79" s="603"/>
      <c r="K79" s="592"/>
      <c r="L79" s="457"/>
      <c r="M79" s="662"/>
      <c r="N79" s="662"/>
    </row>
    <row r="80" spans="2:14" ht="22.5" customHeight="1">
      <c r="B80" s="682"/>
      <c r="C80" s="682" t="s">
        <v>344</v>
      </c>
      <c r="D80" s="732" t="s">
        <v>8</v>
      </c>
      <c r="E80" s="736" t="s">
        <v>309</v>
      </c>
      <c r="F80" s="718" t="s">
        <v>252</v>
      </c>
      <c r="G80" s="725" t="s">
        <v>115</v>
      </c>
      <c r="H80" s="726"/>
      <c r="I80" s="726"/>
      <c r="J80" s="718" t="s">
        <v>310</v>
      </c>
      <c r="K80" s="692" t="s">
        <v>150</v>
      </c>
      <c r="L80" s="660"/>
      <c r="M80" s="660"/>
      <c r="N80" s="660"/>
    </row>
    <row r="81" spans="2:14" ht="22.5" customHeight="1">
      <c r="B81" s="683"/>
      <c r="C81" s="683"/>
      <c r="D81" s="733"/>
      <c r="E81" s="737"/>
      <c r="F81" s="718"/>
      <c r="G81" s="723" t="s">
        <v>13</v>
      </c>
      <c r="H81" s="727" t="s">
        <v>151</v>
      </c>
      <c r="I81" s="727" t="s">
        <v>118</v>
      </c>
      <c r="J81" s="718"/>
      <c r="K81" s="692"/>
      <c r="L81" s="660"/>
      <c r="M81" s="660"/>
      <c r="N81" s="660"/>
    </row>
    <row r="82" spans="2:14" ht="75" customHeight="1" thickBot="1">
      <c r="B82" s="684"/>
      <c r="C82" s="684"/>
      <c r="D82" s="734"/>
      <c r="E82" s="738"/>
      <c r="F82" s="719"/>
      <c r="G82" s="724"/>
      <c r="H82" s="730"/>
      <c r="I82" s="728"/>
      <c r="J82" s="719"/>
      <c r="K82" s="693"/>
      <c r="L82" s="660"/>
      <c r="M82" s="660"/>
      <c r="N82" s="660"/>
    </row>
    <row r="83" spans="2:14" ht="59.25" customHeight="1">
      <c r="B83" s="460" t="str">
        <f>+LEFT(C83,4)</f>
        <v>12.1</v>
      </c>
      <c r="C83" s="731" t="s">
        <v>345</v>
      </c>
      <c r="D83" s="582" t="s">
        <v>346</v>
      </c>
      <c r="E83" s="640" t="s">
        <v>347</v>
      </c>
      <c r="F83" s="601">
        <v>3</v>
      </c>
      <c r="G83" s="70">
        <v>1</v>
      </c>
      <c r="H83" s="96" t="s">
        <v>348</v>
      </c>
      <c r="I83" s="670" t="s">
        <v>769</v>
      </c>
      <c r="J83" s="601">
        <v>3</v>
      </c>
      <c r="K83" s="572" t="str">
        <f>+IF(OR(ISBLANK(F83),ISBLANK(J83)),"",IF(OR(AND(F83=1,J83=1),AND(F83=1,J83=2),AND(F83=1,J83=3)),"Deficiencia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457">
        <f>+IF(K83="",152,IF(K83="Deficiencia de control mayor (diseño y ejecución)",160,IF(K83="Deficiencia de control (diseño o ejecución)",180,IF(K83="Oportunidad de mejora",200,220))))</f>
        <v>220</v>
      </c>
      <c r="M83" s="662">
        <v>4.1235999999999997</v>
      </c>
      <c r="N83" s="662">
        <f>+L83+M83</f>
        <v>224.12360000000001</v>
      </c>
    </row>
    <row r="84" spans="2:14" ht="63.75" customHeight="1">
      <c r="B84" s="461"/>
      <c r="C84" s="701"/>
      <c r="D84" s="583"/>
      <c r="E84" s="586"/>
      <c r="F84" s="602"/>
      <c r="G84" s="68">
        <v>2</v>
      </c>
      <c r="H84" s="96" t="s">
        <v>349</v>
      </c>
      <c r="I84" s="668"/>
      <c r="J84" s="602"/>
      <c r="K84" s="573"/>
      <c r="L84" s="457"/>
      <c r="M84" s="662"/>
      <c r="N84" s="662"/>
    </row>
    <row r="85" spans="2:14" ht="28.5" customHeight="1">
      <c r="B85" s="461"/>
      <c r="C85" s="701"/>
      <c r="D85" s="583"/>
      <c r="E85" s="586"/>
      <c r="F85" s="602"/>
      <c r="G85" s="68">
        <v>3</v>
      </c>
      <c r="H85" s="96" t="s">
        <v>350</v>
      </c>
      <c r="I85" s="668"/>
      <c r="J85" s="602"/>
      <c r="K85" s="573"/>
      <c r="L85" s="457"/>
      <c r="M85" s="662"/>
      <c r="N85" s="662"/>
    </row>
    <row r="86" spans="2:14" ht="72.75" customHeight="1">
      <c r="B86" s="461"/>
      <c r="C86" s="701"/>
      <c r="D86" s="583"/>
      <c r="E86" s="586"/>
      <c r="F86" s="602"/>
      <c r="G86" s="68">
        <v>4</v>
      </c>
      <c r="H86" s="96" t="s">
        <v>317</v>
      </c>
      <c r="I86" s="668"/>
      <c r="J86" s="602"/>
      <c r="K86" s="573"/>
      <c r="L86" s="457"/>
      <c r="M86" s="662"/>
      <c r="N86" s="662"/>
    </row>
    <row r="87" spans="2:14" ht="56.25" customHeight="1">
      <c r="B87" s="461"/>
      <c r="C87" s="701"/>
      <c r="D87" s="583"/>
      <c r="E87" s="586"/>
      <c r="F87" s="602"/>
      <c r="G87" s="68">
        <v>5</v>
      </c>
      <c r="H87" s="96" t="s">
        <v>351</v>
      </c>
      <c r="I87" s="668"/>
      <c r="J87" s="602"/>
      <c r="K87" s="573"/>
      <c r="L87" s="457"/>
      <c r="M87" s="662"/>
      <c r="N87" s="662"/>
    </row>
    <row r="88" spans="2:14" ht="49.5" customHeight="1">
      <c r="B88" s="461"/>
      <c r="C88" s="701"/>
      <c r="D88" s="583"/>
      <c r="E88" s="586"/>
      <c r="F88" s="602"/>
      <c r="G88" s="68">
        <v>6</v>
      </c>
      <c r="I88" s="668"/>
      <c r="J88" s="602"/>
      <c r="K88" s="573"/>
      <c r="L88" s="457"/>
      <c r="M88" s="662"/>
      <c r="N88" s="662"/>
    </row>
    <row r="89" spans="2:14" ht="28.5" customHeight="1">
      <c r="B89" s="461"/>
      <c r="C89" s="701"/>
      <c r="D89" s="583"/>
      <c r="E89" s="586"/>
      <c r="F89" s="602"/>
      <c r="G89" s="68">
        <v>7</v>
      </c>
      <c r="H89" s="96"/>
      <c r="I89" s="668"/>
      <c r="J89" s="602"/>
      <c r="K89" s="573"/>
      <c r="L89" s="457"/>
      <c r="M89" s="662"/>
      <c r="N89" s="662"/>
    </row>
    <row r="90" spans="2:14" ht="28.5" customHeight="1" thickBot="1">
      <c r="B90" s="462"/>
      <c r="C90" s="702"/>
      <c r="D90" s="584"/>
      <c r="E90" s="587"/>
      <c r="F90" s="603"/>
      <c r="G90" s="69">
        <v>8</v>
      </c>
      <c r="H90" s="97"/>
      <c r="I90" s="669"/>
      <c r="J90" s="603"/>
      <c r="K90" s="592"/>
      <c r="L90" s="457"/>
      <c r="M90" s="662"/>
      <c r="N90" s="662"/>
    </row>
    <row r="91" spans="2:14" ht="79.5" customHeight="1">
      <c r="B91" s="460" t="str">
        <f>+LEFT(C91,4)</f>
        <v>12.2</v>
      </c>
      <c r="C91" s="731" t="s">
        <v>352</v>
      </c>
      <c r="D91" s="582" t="s">
        <v>353</v>
      </c>
      <c r="E91" s="676" t="s">
        <v>772</v>
      </c>
      <c r="F91" s="601">
        <v>3</v>
      </c>
      <c r="G91" s="70">
        <v>1</v>
      </c>
      <c r="H91" s="100" t="s">
        <v>773</v>
      </c>
      <c r="I91" s="679" t="s">
        <v>852</v>
      </c>
      <c r="J91" s="437">
        <v>2</v>
      </c>
      <c r="K91" s="572" t="str">
        <f>+IF(OR(ISBLANK(F91),ISBLANK(J91)),"",IF(OR(AND(F91=1,J91=1),AND(F91=1,J91=2),AND(F91=1,J91=3)),"Deficiencia de control mayor (diseño y ejecución)",IF(OR(AND(F91=2,J91=2),AND(F91=3,J91=1),AND(F91=3,J91=2),AND(F91=2,J91=1)),"Deficiencia de control (diseño o ejecución)",IF(AND(F91=2,J91=3),"Oportunidad de mejora","Mantenimiento del control"))))</f>
        <v>Deficiencia de control (diseño o ejecución)</v>
      </c>
      <c r="L91" s="457">
        <f>+IF(K91="",152,IF(K91="Deficiencia de control mayor (diseño y ejecución)",160,IF(K91="Deficiencia de control (diseño o ejecución)",180,IF(K91="Oportunidad de mejora",200,220))))</f>
        <v>180</v>
      </c>
      <c r="M91" s="662">
        <v>4.2365000000000004</v>
      </c>
      <c r="N91" s="753">
        <f>+L91+M91</f>
        <v>184.23650000000001</v>
      </c>
    </row>
    <row r="92" spans="2:14" ht="66">
      <c r="B92" s="461"/>
      <c r="C92" s="701"/>
      <c r="D92" s="583"/>
      <c r="E92" s="677"/>
      <c r="F92" s="602"/>
      <c r="G92" s="68">
        <v>2</v>
      </c>
      <c r="H92" s="96" t="s">
        <v>774</v>
      </c>
      <c r="I92" s="680"/>
      <c r="J92" s="438"/>
      <c r="K92" s="573"/>
      <c r="L92" s="457"/>
      <c r="M92" s="662"/>
      <c r="N92" s="753"/>
    </row>
    <row r="93" spans="2:14" ht="33">
      <c r="B93" s="461"/>
      <c r="C93" s="701"/>
      <c r="D93" s="583"/>
      <c r="E93" s="677"/>
      <c r="F93" s="602"/>
      <c r="G93" s="68">
        <v>3</v>
      </c>
      <c r="H93" s="96" t="s">
        <v>301</v>
      </c>
      <c r="I93" s="680"/>
      <c r="J93" s="438"/>
      <c r="K93" s="573"/>
      <c r="L93" s="457"/>
      <c r="M93" s="662"/>
      <c r="N93" s="753"/>
    </row>
    <row r="94" spans="2:14" ht="16.5">
      <c r="B94" s="461"/>
      <c r="C94" s="701"/>
      <c r="D94" s="583"/>
      <c r="E94" s="677"/>
      <c r="F94" s="602"/>
      <c r="G94" s="68">
        <v>4</v>
      </c>
      <c r="H94" s="271"/>
      <c r="I94" s="680"/>
      <c r="J94" s="438"/>
      <c r="K94" s="573"/>
      <c r="L94" s="457"/>
      <c r="M94" s="662"/>
      <c r="N94" s="753"/>
    </row>
    <row r="95" spans="2:14" ht="16.5">
      <c r="B95" s="461"/>
      <c r="C95" s="701"/>
      <c r="D95" s="583"/>
      <c r="E95" s="677"/>
      <c r="F95" s="602"/>
      <c r="G95" s="68">
        <v>5</v>
      </c>
      <c r="H95" s="68"/>
      <c r="I95" s="680"/>
      <c r="J95" s="438"/>
      <c r="K95" s="573"/>
      <c r="L95" s="457"/>
      <c r="M95" s="662"/>
      <c r="N95" s="753"/>
    </row>
    <row r="96" spans="2:14" ht="16.5">
      <c r="B96" s="461"/>
      <c r="C96" s="701"/>
      <c r="D96" s="583"/>
      <c r="E96" s="677"/>
      <c r="F96" s="602"/>
      <c r="G96" s="68">
        <v>6</v>
      </c>
      <c r="H96" s="68"/>
      <c r="I96" s="680"/>
      <c r="J96" s="438"/>
      <c r="K96" s="573"/>
      <c r="L96" s="457"/>
      <c r="M96" s="662"/>
      <c r="N96" s="753"/>
    </row>
    <row r="97" spans="2:14" ht="16.5">
      <c r="B97" s="461"/>
      <c r="C97" s="701"/>
      <c r="D97" s="583"/>
      <c r="E97" s="677"/>
      <c r="F97" s="602"/>
      <c r="G97" s="68">
        <v>7</v>
      </c>
      <c r="H97" s="68"/>
      <c r="I97" s="680"/>
      <c r="J97" s="438"/>
      <c r="K97" s="573"/>
      <c r="L97" s="457"/>
      <c r="M97" s="662"/>
      <c r="N97" s="753"/>
    </row>
    <row r="98" spans="2:14" ht="17.25" thickBot="1">
      <c r="B98" s="462"/>
      <c r="C98" s="702"/>
      <c r="D98" s="584"/>
      <c r="E98" s="678"/>
      <c r="F98" s="603"/>
      <c r="G98" s="69">
        <v>8</v>
      </c>
      <c r="H98" s="69"/>
      <c r="I98" s="681"/>
      <c r="J98" s="439"/>
      <c r="K98" s="592"/>
      <c r="L98" s="457"/>
      <c r="M98" s="662"/>
      <c r="N98" s="753"/>
    </row>
    <row r="99" spans="2:14" ht="49.5">
      <c r="B99" s="460" t="str">
        <f>+LEFT(C99,4)</f>
        <v>12.3</v>
      </c>
      <c r="C99" s="673" t="s">
        <v>354</v>
      </c>
      <c r="D99" s="582" t="s">
        <v>355</v>
      </c>
      <c r="E99" s="676" t="s">
        <v>775</v>
      </c>
      <c r="F99" s="601">
        <v>3</v>
      </c>
      <c r="G99" s="70">
        <v>1</v>
      </c>
      <c r="H99" s="100" t="s">
        <v>356</v>
      </c>
      <c r="I99" s="676" t="s">
        <v>776</v>
      </c>
      <c r="J99" s="601">
        <v>3</v>
      </c>
      <c r="K99" s="572" t="str">
        <f>+IF(OR(ISBLANK(F99),ISBLANK(J99)),"",IF(OR(AND(F99=1,J99=1),AND(F99=1,J99=2),AND(F99=1,J99=3)),"Deficiencia de control mayor (diseño y ejecución)",IF(OR(AND(F99=2,J99=2),AND(F99=3,J99=1),AND(F99=3,J99=2),AND(F99=2,J99=1)),"Deficiencia de control (diseño o ejecución)",IF(AND(F99=2,J99=3),"Oportunidad de mejora","Mantenimiento del control"))))</f>
        <v>Mantenimiento del control</v>
      </c>
      <c r="L99" s="457">
        <f>+IF(K99="",152,IF(K99="Deficiencia de control mayor (diseño y ejecución)",160,IF(K99="Deficiencia de control (diseño o ejecución)",180,IF(K99="Oportunidad de mejora",200,220))))</f>
        <v>220</v>
      </c>
      <c r="M99" s="662">
        <v>4.2365599999999999</v>
      </c>
      <c r="N99" s="753">
        <f>+L99+M99</f>
        <v>224.23656</v>
      </c>
    </row>
    <row r="100" spans="2:14" ht="33">
      <c r="B100" s="461"/>
      <c r="C100" s="674"/>
      <c r="D100" s="583"/>
      <c r="E100" s="432"/>
      <c r="F100" s="602"/>
      <c r="G100" s="68">
        <v>2</v>
      </c>
      <c r="H100" s="96" t="s">
        <v>357</v>
      </c>
      <c r="I100" s="677"/>
      <c r="J100" s="602"/>
      <c r="K100" s="573"/>
      <c r="L100" s="457"/>
      <c r="M100" s="662"/>
      <c r="N100" s="753"/>
    </row>
    <row r="101" spans="2:14" ht="66">
      <c r="B101" s="461"/>
      <c r="C101" s="674"/>
      <c r="D101" s="583"/>
      <c r="E101" s="432"/>
      <c r="F101" s="602"/>
      <c r="G101" s="68">
        <v>3</v>
      </c>
      <c r="H101" s="96" t="s">
        <v>774</v>
      </c>
      <c r="I101" s="677"/>
      <c r="J101" s="602"/>
      <c r="K101" s="573"/>
      <c r="L101" s="457"/>
      <c r="M101" s="662"/>
      <c r="N101" s="753"/>
    </row>
    <row r="102" spans="2:14" ht="33">
      <c r="B102" s="461"/>
      <c r="C102" s="674"/>
      <c r="D102" s="583"/>
      <c r="E102" s="432"/>
      <c r="F102" s="602"/>
      <c r="G102" s="68">
        <v>4</v>
      </c>
      <c r="H102" s="96" t="s">
        <v>301</v>
      </c>
      <c r="I102" s="677"/>
      <c r="J102" s="602"/>
      <c r="K102" s="573"/>
      <c r="L102" s="457"/>
      <c r="M102" s="662"/>
      <c r="N102" s="753"/>
    </row>
    <row r="103" spans="2:14" ht="16.5">
      <c r="B103" s="461"/>
      <c r="C103" s="674"/>
      <c r="D103" s="583"/>
      <c r="E103" s="432"/>
      <c r="F103" s="602"/>
      <c r="G103" s="68">
        <v>5</v>
      </c>
      <c r="H103" s="68"/>
      <c r="I103" s="677"/>
      <c r="J103" s="602"/>
      <c r="K103" s="573"/>
      <c r="L103" s="457"/>
      <c r="M103" s="662"/>
      <c r="N103" s="753"/>
    </row>
    <row r="104" spans="2:14" ht="16.5">
      <c r="B104" s="461"/>
      <c r="C104" s="674"/>
      <c r="D104" s="583"/>
      <c r="E104" s="432"/>
      <c r="F104" s="602"/>
      <c r="G104" s="68">
        <v>6</v>
      </c>
      <c r="H104" s="68"/>
      <c r="I104" s="677"/>
      <c r="J104" s="602"/>
      <c r="K104" s="573"/>
      <c r="L104" s="457"/>
      <c r="M104" s="662"/>
      <c r="N104" s="753"/>
    </row>
    <row r="105" spans="2:14" ht="16.5">
      <c r="B105" s="461"/>
      <c r="C105" s="674"/>
      <c r="D105" s="583"/>
      <c r="E105" s="432"/>
      <c r="F105" s="602"/>
      <c r="G105" s="68">
        <v>7</v>
      </c>
      <c r="H105" s="68"/>
      <c r="I105" s="677"/>
      <c r="J105" s="602"/>
      <c r="K105" s="573"/>
      <c r="L105" s="457"/>
      <c r="M105" s="662"/>
      <c r="N105" s="753"/>
    </row>
    <row r="106" spans="2:14" ht="17.25" thickBot="1">
      <c r="B106" s="462"/>
      <c r="C106" s="675"/>
      <c r="D106" s="584"/>
      <c r="E106" s="433"/>
      <c r="F106" s="603"/>
      <c r="G106" s="69">
        <v>8</v>
      </c>
      <c r="H106" s="69"/>
      <c r="I106" s="678"/>
      <c r="J106" s="603"/>
      <c r="K106" s="592"/>
      <c r="L106" s="457"/>
      <c r="M106" s="662"/>
      <c r="N106" s="753"/>
    </row>
    <row r="107" spans="2:14" ht="66">
      <c r="B107" s="460" t="str">
        <f>+LEFT(C107,4)</f>
        <v>12.4</v>
      </c>
      <c r="C107" s="673" t="s">
        <v>358</v>
      </c>
      <c r="D107" s="582" t="s">
        <v>359</v>
      </c>
      <c r="E107" s="676" t="s">
        <v>777</v>
      </c>
      <c r="F107" s="601">
        <v>3</v>
      </c>
      <c r="G107" s="70">
        <v>1</v>
      </c>
      <c r="H107" s="96" t="s">
        <v>908</v>
      </c>
      <c r="I107" s="679" t="s">
        <v>909</v>
      </c>
      <c r="J107" s="601">
        <v>3</v>
      </c>
      <c r="K107" s="572" t="str">
        <f>+IF(OR(ISBLANK(F107),ISBLANK(J107)),"",IF(OR(AND(F107=1,J107=1),AND(F107=1,J107=2),AND(F107=1,J107=3)),"Deficiencia de control mayor (diseño y ejecución)",IF(OR(AND(F107=2,J107=2),AND(F107=3,J107=1),AND(F107=3,J107=2),AND(F107=2,J107=1)),"Deficiencia de control (diseño o ejecución)",IF(AND(F107=2,J107=3),"Oportunidad de mejora","Mantenimiento del control"))))</f>
        <v>Mantenimiento del control</v>
      </c>
      <c r="L107" s="457">
        <f>+IF(K107="",152,IF(K107="Deficiencia de control mayor (diseño y ejecución)",160,IF(K107="Deficiencia de control (diseño o ejecución)",180,IF(K107="Oportunidad de mejora",200,220))))</f>
        <v>220</v>
      </c>
      <c r="M107" s="662">
        <v>4.2365680000000001</v>
      </c>
      <c r="N107" s="753">
        <f>+L107+M107</f>
        <v>224.23656800000001</v>
      </c>
    </row>
    <row r="108" spans="2:14" ht="49.5">
      <c r="B108" s="461"/>
      <c r="C108" s="674"/>
      <c r="D108" s="583"/>
      <c r="E108" s="432"/>
      <c r="F108" s="602"/>
      <c r="G108" s="68">
        <v>2</v>
      </c>
      <c r="H108" s="96" t="s">
        <v>360</v>
      </c>
      <c r="I108" s="680"/>
      <c r="J108" s="602"/>
      <c r="K108" s="573"/>
      <c r="L108" s="457"/>
      <c r="M108" s="662"/>
      <c r="N108" s="753"/>
    </row>
    <row r="109" spans="2:14" ht="16.5">
      <c r="B109" s="461"/>
      <c r="C109" s="674"/>
      <c r="D109" s="583"/>
      <c r="E109" s="432"/>
      <c r="F109" s="602"/>
      <c r="G109" s="68">
        <v>3</v>
      </c>
      <c r="H109" s="68"/>
      <c r="I109" s="680"/>
      <c r="J109" s="602"/>
      <c r="K109" s="573"/>
      <c r="L109" s="457"/>
      <c r="M109" s="662"/>
      <c r="N109" s="753"/>
    </row>
    <row r="110" spans="2:14" ht="16.5">
      <c r="B110" s="461"/>
      <c r="C110" s="674"/>
      <c r="D110" s="583"/>
      <c r="E110" s="432"/>
      <c r="F110" s="602"/>
      <c r="G110" s="68">
        <v>4</v>
      </c>
      <c r="H110" s="68"/>
      <c r="I110" s="680"/>
      <c r="J110" s="602"/>
      <c r="K110" s="573"/>
      <c r="L110" s="457"/>
      <c r="M110" s="662"/>
      <c r="N110" s="753"/>
    </row>
    <row r="111" spans="2:14" ht="16.5">
      <c r="B111" s="461"/>
      <c r="C111" s="674"/>
      <c r="D111" s="583"/>
      <c r="E111" s="432"/>
      <c r="F111" s="602"/>
      <c r="G111" s="68">
        <v>5</v>
      </c>
      <c r="H111" s="68"/>
      <c r="I111" s="680"/>
      <c r="J111" s="602"/>
      <c r="K111" s="573"/>
      <c r="L111" s="457"/>
      <c r="M111" s="662"/>
      <c r="N111" s="753"/>
    </row>
    <row r="112" spans="2:14" ht="16.5">
      <c r="B112" s="461"/>
      <c r="C112" s="674"/>
      <c r="D112" s="583"/>
      <c r="E112" s="432"/>
      <c r="F112" s="602"/>
      <c r="G112" s="68">
        <v>6</v>
      </c>
      <c r="H112" s="68"/>
      <c r="I112" s="680"/>
      <c r="J112" s="602"/>
      <c r="K112" s="573"/>
      <c r="L112" s="457"/>
      <c r="M112" s="662"/>
      <c r="N112" s="753"/>
    </row>
    <row r="113" spans="2:14" ht="16.5">
      <c r="B113" s="461"/>
      <c r="C113" s="674"/>
      <c r="D113" s="583"/>
      <c r="E113" s="432"/>
      <c r="F113" s="602"/>
      <c r="G113" s="68">
        <v>7</v>
      </c>
      <c r="H113" s="68"/>
      <c r="I113" s="680"/>
      <c r="J113" s="602"/>
      <c r="K113" s="573"/>
      <c r="L113" s="457"/>
      <c r="M113" s="662"/>
      <c r="N113" s="753"/>
    </row>
    <row r="114" spans="2:14" ht="16.5">
      <c r="B114" s="462"/>
      <c r="C114" s="675"/>
      <c r="D114" s="584"/>
      <c r="E114" s="433"/>
      <c r="F114" s="603"/>
      <c r="G114" s="69">
        <v>8</v>
      </c>
      <c r="H114" s="69"/>
      <c r="I114" s="681"/>
      <c r="J114" s="603"/>
      <c r="K114" s="592"/>
      <c r="L114" s="457"/>
      <c r="M114" s="662"/>
      <c r="N114" s="753"/>
    </row>
    <row r="115" spans="2:14" ht="67.5" customHeight="1">
      <c r="B115" s="460" t="str">
        <f>+LEFT(C115,4)</f>
        <v>12.5</v>
      </c>
      <c r="C115" s="731" t="s">
        <v>361</v>
      </c>
      <c r="D115" s="582" t="s">
        <v>362</v>
      </c>
      <c r="E115" s="735" t="s">
        <v>363</v>
      </c>
      <c r="F115" s="601">
        <v>3</v>
      </c>
      <c r="G115" s="70">
        <v>1</v>
      </c>
      <c r="H115" s="100" t="s">
        <v>364</v>
      </c>
      <c r="I115" s="676" t="s">
        <v>817</v>
      </c>
      <c r="J115" s="437">
        <v>2</v>
      </c>
      <c r="K115" s="572" t="str">
        <f>+IF(OR(ISBLANK(F115),ISBLANK(J115)),"",IF(OR(AND(F115=1,J115=1),AND(F115=1,J115=2),AND(F115=1,J115=3)),"Deficiencia de control mayor (diseño y ejecución)",IF(OR(AND(F115=2,J115=2),AND(F115=3,J115=1),AND(F115=3,J115=2),AND(F115=2,J115=1)),"Deficiencia de control (diseño o ejecución)",IF(AND(F115=2,J115=3),"Oportunidad de mejora","Mantenimiento del control"))))</f>
        <v>Deficiencia de control (diseño o ejecución)</v>
      </c>
      <c r="L115" s="457">
        <f>+IF(K115="",152,IF(K115="Deficiencia de control mayor (diseño y ejecución)",160,IF(K115="Deficiencia de control (diseño o ejecución)",180,IF(K115="Oportunidad de mejora",200,220))))</f>
        <v>180</v>
      </c>
      <c r="M115" s="662">
        <v>4.3569000000000004</v>
      </c>
      <c r="N115" s="662">
        <f>+L115+M115</f>
        <v>184.3569</v>
      </c>
    </row>
    <row r="116" spans="2:14" ht="31.5" customHeight="1">
      <c r="B116" s="461"/>
      <c r="C116" s="701"/>
      <c r="D116" s="583"/>
      <c r="E116" s="426"/>
      <c r="F116" s="602"/>
      <c r="G116" s="68">
        <v>2</v>
      </c>
      <c r="H116" s="96" t="s">
        <v>365</v>
      </c>
      <c r="I116" s="677"/>
      <c r="J116" s="438"/>
      <c r="K116" s="573"/>
      <c r="L116" s="457"/>
      <c r="M116" s="662"/>
      <c r="N116" s="662"/>
    </row>
    <row r="117" spans="2:14" ht="42.75" customHeight="1">
      <c r="B117" s="461"/>
      <c r="C117" s="701"/>
      <c r="D117" s="583"/>
      <c r="E117" s="426"/>
      <c r="F117" s="602"/>
      <c r="G117" s="68">
        <v>3</v>
      </c>
      <c r="H117" s="114" t="s">
        <v>778</v>
      </c>
      <c r="I117" s="677"/>
      <c r="J117" s="438"/>
      <c r="K117" s="573"/>
      <c r="L117" s="457"/>
      <c r="M117" s="662"/>
      <c r="N117" s="662"/>
    </row>
    <row r="118" spans="2:14" ht="16.5">
      <c r="B118" s="461"/>
      <c r="C118" s="701"/>
      <c r="D118" s="583"/>
      <c r="E118" s="426"/>
      <c r="F118" s="602"/>
      <c r="G118" s="68">
        <v>4</v>
      </c>
      <c r="H118" s="68"/>
      <c r="I118" s="677"/>
      <c r="J118" s="438"/>
      <c r="K118" s="573"/>
      <c r="L118" s="457"/>
      <c r="M118" s="662"/>
      <c r="N118" s="662"/>
    </row>
    <row r="119" spans="2:14" ht="22.5" customHeight="1">
      <c r="B119" s="461"/>
      <c r="C119" s="701"/>
      <c r="D119" s="583"/>
      <c r="E119" s="426"/>
      <c r="F119" s="602"/>
      <c r="G119" s="68">
        <v>5</v>
      </c>
      <c r="H119" s="68"/>
      <c r="I119" s="677"/>
      <c r="J119" s="438"/>
      <c r="K119" s="573"/>
      <c r="L119" s="457"/>
      <c r="M119" s="662"/>
      <c r="N119" s="662"/>
    </row>
    <row r="120" spans="2:14" ht="22.5" customHeight="1">
      <c r="B120" s="461"/>
      <c r="C120" s="701"/>
      <c r="D120" s="583"/>
      <c r="E120" s="426"/>
      <c r="F120" s="602"/>
      <c r="G120" s="68">
        <v>6</v>
      </c>
      <c r="H120" s="68"/>
      <c r="I120" s="677"/>
      <c r="J120" s="438"/>
      <c r="K120" s="573"/>
      <c r="L120" s="457"/>
      <c r="M120" s="662"/>
      <c r="N120" s="662"/>
    </row>
    <row r="121" spans="2:14" ht="22.5" customHeight="1">
      <c r="B121" s="461"/>
      <c r="C121" s="701"/>
      <c r="D121" s="583"/>
      <c r="E121" s="426"/>
      <c r="F121" s="602"/>
      <c r="G121" s="68">
        <v>7</v>
      </c>
      <c r="H121" s="68"/>
      <c r="I121" s="677"/>
      <c r="J121" s="438"/>
      <c r="K121" s="573"/>
      <c r="L121" s="457"/>
      <c r="M121" s="662"/>
      <c r="N121" s="662"/>
    </row>
    <row r="122" spans="2:14" ht="22.5" customHeight="1">
      <c r="B122" s="462"/>
      <c r="C122" s="702"/>
      <c r="D122" s="584"/>
      <c r="E122" s="427"/>
      <c r="F122" s="603"/>
      <c r="G122" s="69">
        <v>8</v>
      </c>
      <c r="H122" s="69"/>
      <c r="I122" s="678"/>
      <c r="J122" s="439"/>
      <c r="K122" s="592"/>
      <c r="L122" s="457"/>
      <c r="M122" s="662"/>
      <c r="N122" s="662"/>
    </row>
    <row r="123" spans="2:14" ht="22.5" customHeight="1">
      <c r="D123" s="59"/>
    </row>
    <row r="124" spans="2:14" ht="22.5" customHeight="1">
      <c r="D124" s="59"/>
    </row>
    <row r="125" spans="2:14" ht="22.5" customHeight="1">
      <c r="D125" s="59"/>
    </row>
    <row r="126" spans="2:14" ht="22.5" customHeight="1">
      <c r="D126" s="59"/>
    </row>
    <row r="127" spans="2:14" ht="22.5" customHeight="1">
      <c r="D127" s="59"/>
    </row>
    <row r="128" spans="2:14" ht="22.5" customHeight="1">
      <c r="D128" s="59"/>
    </row>
    <row r="129" spans="4:4" ht="22.5" customHeight="1">
      <c r="D129" s="59"/>
    </row>
    <row r="130" spans="4:4" ht="22.5" customHeight="1">
      <c r="D130" s="59"/>
    </row>
    <row r="131" spans="4:4" ht="22.5" customHeight="1">
      <c r="D131" s="59"/>
    </row>
    <row r="132" spans="4:4" ht="22.5" customHeight="1">
      <c r="D132" s="59"/>
    </row>
    <row r="133" spans="4:4" ht="22.5" customHeight="1">
      <c r="D133" s="59"/>
    </row>
    <row r="134" spans="4:4" ht="22.5" customHeight="1">
      <c r="D134" s="59"/>
    </row>
    <row r="135" spans="4:4" ht="22.5" customHeight="1">
      <c r="D135" s="59"/>
    </row>
    <row r="136" spans="4:4" ht="22.5" customHeight="1">
      <c r="D136" s="59"/>
    </row>
    <row r="137" spans="4:4" ht="22.5" customHeight="1">
      <c r="D137" s="59"/>
    </row>
    <row r="138" spans="4:4" ht="22.5" customHeight="1">
      <c r="D138" s="59"/>
    </row>
    <row r="139" spans="4:4" ht="22.5" customHeight="1">
      <c r="D139" s="59"/>
    </row>
    <row r="140" spans="4:4" ht="22.5" customHeight="1">
      <c r="D140" s="59"/>
    </row>
    <row r="141" spans="4:4" ht="22.5" customHeight="1">
      <c r="D141" s="59"/>
    </row>
    <row r="142" spans="4:4" ht="22.5" customHeight="1">
      <c r="D142" s="59"/>
    </row>
    <row r="143" spans="4:4" ht="22.5" customHeight="1">
      <c r="D143" s="59"/>
    </row>
    <row r="144" spans="4:4" ht="22.5" customHeight="1">
      <c r="D144" s="59"/>
    </row>
    <row r="145" spans="4:4" ht="22.5" customHeight="1">
      <c r="D145" s="59"/>
    </row>
    <row r="146" spans="4:4" ht="22.5" customHeight="1">
      <c r="D146" s="59"/>
    </row>
    <row r="147" spans="4:4" ht="22.5" customHeight="1">
      <c r="D147" s="59"/>
    </row>
    <row r="148" spans="4:4" ht="22.5" customHeight="1">
      <c r="D148" s="59"/>
    </row>
    <row r="149" spans="4:4" ht="22.5" customHeight="1">
      <c r="D149" s="59"/>
    </row>
    <row r="150" spans="4:4" ht="22.5" customHeight="1">
      <c r="D150" s="59"/>
    </row>
    <row r="151" spans="4:4" ht="22.5" customHeight="1">
      <c r="D151" s="59"/>
    </row>
    <row r="152" spans="4:4" ht="22.5" customHeight="1">
      <c r="D152" s="59"/>
    </row>
    <row r="153" spans="4:4" ht="22.5" customHeight="1">
      <c r="D153" s="59"/>
    </row>
    <row r="154" spans="4:4" ht="22.5" customHeight="1">
      <c r="D154" s="59"/>
    </row>
    <row r="155" spans="4:4" ht="22.5" customHeight="1">
      <c r="D155" s="59"/>
    </row>
    <row r="156" spans="4:4" ht="22.5" customHeight="1">
      <c r="D156" s="59"/>
    </row>
    <row r="157" spans="4:4" ht="22.5" customHeight="1">
      <c r="D157" s="59"/>
    </row>
    <row r="158" spans="4:4" ht="22.5" customHeight="1">
      <c r="D158" s="59"/>
    </row>
    <row r="159" spans="4:4" ht="22.5" customHeight="1">
      <c r="D159" s="59"/>
    </row>
    <row r="160" spans="4:4" ht="22.5" customHeight="1">
      <c r="D160" s="59"/>
    </row>
    <row r="161" spans="4:4" ht="22.5" customHeight="1">
      <c r="D161" s="59"/>
    </row>
    <row r="162" spans="4:4" ht="22.5" customHeight="1">
      <c r="D162" s="59"/>
    </row>
    <row r="163" spans="4:4" ht="22.5" customHeight="1">
      <c r="D163" s="59"/>
    </row>
    <row r="164" spans="4:4" ht="22.5" customHeight="1">
      <c r="D164" s="59"/>
    </row>
    <row r="165" spans="4:4" ht="22.5" customHeight="1">
      <c r="D165" s="59"/>
    </row>
    <row r="166" spans="4:4" ht="22.5" customHeight="1">
      <c r="D166" s="59"/>
    </row>
    <row r="167" spans="4:4" ht="22.5" customHeight="1">
      <c r="D167" s="59"/>
    </row>
    <row r="168" spans="4:4" ht="22.5" customHeight="1">
      <c r="D168" s="59"/>
    </row>
    <row r="169" spans="4:4" ht="22.5" customHeight="1">
      <c r="D169" s="59"/>
    </row>
    <row r="170" spans="4:4" ht="22.5" customHeight="1">
      <c r="D170" s="59"/>
    </row>
    <row r="171" spans="4:4" ht="22.5" customHeight="1">
      <c r="D171" s="59"/>
    </row>
    <row r="172" spans="4:4" ht="22.5" customHeight="1">
      <c r="D172" s="59"/>
    </row>
    <row r="173" spans="4:4" ht="22.5" customHeight="1">
      <c r="D173" s="59"/>
    </row>
    <row r="174" spans="4:4" ht="22.5" customHeight="1">
      <c r="D174" s="59"/>
    </row>
    <row r="175" spans="4:4" ht="22.5" customHeight="1">
      <c r="D175" s="59"/>
    </row>
    <row r="176" spans="4:4" ht="22.5" customHeight="1">
      <c r="D176" s="59"/>
    </row>
    <row r="177" spans="4:4" ht="22.5" customHeight="1">
      <c r="D177" s="59"/>
    </row>
    <row r="178" spans="4:4" ht="22.5" customHeight="1">
      <c r="D178" s="59"/>
    </row>
    <row r="179" spans="4:4" ht="22.5" customHeight="1">
      <c r="D179" s="59"/>
    </row>
    <row r="180" spans="4:4" ht="22.5" customHeight="1">
      <c r="D180" s="59"/>
    </row>
    <row r="181" spans="4:4" ht="22.5" customHeight="1">
      <c r="D181" s="59"/>
    </row>
    <row r="182" spans="4:4" ht="22.5" customHeight="1">
      <c r="D182" s="59"/>
    </row>
    <row r="183" spans="4:4" ht="22.5" customHeight="1">
      <c r="D183" s="59"/>
    </row>
    <row r="184" spans="4:4" ht="22.5" customHeight="1">
      <c r="D184" s="59"/>
    </row>
    <row r="185" spans="4:4" ht="22.5" customHeight="1">
      <c r="D185" s="59"/>
    </row>
    <row r="186" spans="4:4" ht="22.5" customHeight="1">
      <c r="D186" s="59"/>
    </row>
    <row r="187" spans="4:4" ht="22.5" customHeight="1">
      <c r="D187" s="59"/>
    </row>
    <row r="188" spans="4:4" ht="22.5" customHeight="1">
      <c r="D188" s="59"/>
    </row>
    <row r="189" spans="4:4" ht="22.5" customHeight="1">
      <c r="D189" s="59"/>
    </row>
    <row r="190" spans="4:4" ht="22.5" customHeight="1">
      <c r="D190" s="59"/>
    </row>
    <row r="191" spans="4:4" ht="22.5" customHeight="1">
      <c r="D191" s="59"/>
    </row>
    <row r="192" spans="4:4" ht="22.5" customHeight="1">
      <c r="D192" s="59"/>
    </row>
    <row r="193" spans="4:4" ht="22.5" customHeight="1">
      <c r="D193" s="59"/>
    </row>
    <row r="194" spans="4:4" ht="22.5" customHeight="1">
      <c r="D194" s="59"/>
    </row>
    <row r="195" spans="4:4" ht="22.5" customHeight="1">
      <c r="D195" s="59"/>
    </row>
    <row r="196" spans="4:4" ht="22.5" customHeight="1">
      <c r="D196" s="59"/>
    </row>
    <row r="197" spans="4:4" ht="22.5" customHeight="1">
      <c r="D197" s="59"/>
    </row>
    <row r="198" spans="4:4" ht="22.5" customHeight="1">
      <c r="D198" s="59"/>
    </row>
  </sheetData>
  <sheetProtection formatCells="0" formatColumns="0" formatRows="0"/>
  <autoFilter ref="C1:C122" xr:uid="{00000000-0009-0000-0000-000004000000}"/>
  <mergeCells count="176">
    <mergeCell ref="I115:I122"/>
    <mergeCell ref="K83:K90"/>
    <mergeCell ref="K91:K98"/>
    <mergeCell ref="K115:K122"/>
    <mergeCell ref="I29:I36"/>
    <mergeCell ref="I37:I44"/>
    <mergeCell ref="I48:I55"/>
    <mergeCell ref="I56:I63"/>
    <mergeCell ref="I64:I71"/>
    <mergeCell ref="I72:I79"/>
    <mergeCell ref="L107:L114"/>
    <mergeCell ref="M99:M106"/>
    <mergeCell ref="M107:M114"/>
    <mergeCell ref="I83:I90"/>
    <mergeCell ref="I91:I98"/>
    <mergeCell ref="N80:N82"/>
    <mergeCell ref="N83:N90"/>
    <mergeCell ref="N91:N98"/>
    <mergeCell ref="L80:L82"/>
    <mergeCell ref="L83:L90"/>
    <mergeCell ref="L91:L98"/>
    <mergeCell ref="N115:N122"/>
    <mergeCell ref="N18:N20"/>
    <mergeCell ref="N21:N28"/>
    <mergeCell ref="N29:N36"/>
    <mergeCell ref="N37:N44"/>
    <mergeCell ref="N45:N47"/>
    <mergeCell ref="N48:N55"/>
    <mergeCell ref="N56:N63"/>
    <mergeCell ref="N64:N71"/>
    <mergeCell ref="N72:N79"/>
    <mergeCell ref="N99:N106"/>
    <mergeCell ref="N107:N114"/>
    <mergeCell ref="L115:L122"/>
    <mergeCell ref="M18:M20"/>
    <mergeCell ref="M21:M28"/>
    <mergeCell ref="M29:M36"/>
    <mergeCell ref="M37:M44"/>
    <mergeCell ref="M45:M47"/>
    <mergeCell ref="M48:M55"/>
    <mergeCell ref="M56:M63"/>
    <mergeCell ref="M64:M71"/>
    <mergeCell ref="M72:M79"/>
    <mergeCell ref="M80:M82"/>
    <mergeCell ref="M83:M90"/>
    <mergeCell ref="M91:M98"/>
    <mergeCell ref="M115:M122"/>
    <mergeCell ref="L18:L20"/>
    <mergeCell ref="L21:L28"/>
    <mergeCell ref="L29:L36"/>
    <mergeCell ref="L37:L44"/>
    <mergeCell ref="L45:L47"/>
    <mergeCell ref="L48:L55"/>
    <mergeCell ref="L56:L63"/>
    <mergeCell ref="L64:L71"/>
    <mergeCell ref="L72:L79"/>
    <mergeCell ref="L99:L106"/>
    <mergeCell ref="C29:C36"/>
    <mergeCell ref="D29:D36"/>
    <mergeCell ref="E29:E36"/>
    <mergeCell ref="F29:F36"/>
    <mergeCell ref="J29:J36"/>
    <mergeCell ref="J48:J55"/>
    <mergeCell ref="C45:C47"/>
    <mergeCell ref="D45:D47"/>
    <mergeCell ref="E45:E47"/>
    <mergeCell ref="F45:F47"/>
    <mergeCell ref="G45:I45"/>
    <mergeCell ref="J45:J47"/>
    <mergeCell ref="G46:G47"/>
    <mergeCell ref="I46:I47"/>
    <mergeCell ref="C48:C55"/>
    <mergeCell ref="D48:D55"/>
    <mergeCell ref="E48:E55"/>
    <mergeCell ref="F48:F55"/>
    <mergeCell ref="C56:C63"/>
    <mergeCell ref="E56:E63"/>
    <mergeCell ref="D56:D63"/>
    <mergeCell ref="C64:C71"/>
    <mergeCell ref="D64:D71"/>
    <mergeCell ref="E64:E71"/>
    <mergeCell ref="C37:C44"/>
    <mergeCell ref="D37:D44"/>
    <mergeCell ref="E37:E44"/>
    <mergeCell ref="C115:C122"/>
    <mergeCell ref="D115:D122"/>
    <mergeCell ref="D80:D82"/>
    <mergeCell ref="C91:C98"/>
    <mergeCell ref="E91:E98"/>
    <mergeCell ref="C80:C82"/>
    <mergeCell ref="C83:C90"/>
    <mergeCell ref="E83:E90"/>
    <mergeCell ref="D72:D79"/>
    <mergeCell ref="D83:D90"/>
    <mergeCell ref="D91:D98"/>
    <mergeCell ref="E115:E122"/>
    <mergeCell ref="E80:E82"/>
    <mergeCell ref="C72:C79"/>
    <mergeCell ref="E72:E79"/>
    <mergeCell ref="C99:C106"/>
    <mergeCell ref="D99:D106"/>
    <mergeCell ref="E99:E106"/>
    <mergeCell ref="E18:E20"/>
    <mergeCell ref="J56:J63"/>
    <mergeCell ref="J115:J122"/>
    <mergeCell ref="F72:F79"/>
    <mergeCell ref="J72:J79"/>
    <mergeCell ref="J80:J82"/>
    <mergeCell ref="J83:J90"/>
    <mergeCell ref="J91:J98"/>
    <mergeCell ref="J64:J71"/>
    <mergeCell ref="F56:F63"/>
    <mergeCell ref="G81:G82"/>
    <mergeCell ref="G80:I80"/>
    <mergeCell ref="I81:I82"/>
    <mergeCell ref="F91:F98"/>
    <mergeCell ref="F80:F82"/>
    <mergeCell ref="F83:F90"/>
    <mergeCell ref="F115:F122"/>
    <mergeCell ref="F64:F71"/>
    <mergeCell ref="F37:F44"/>
    <mergeCell ref="J37:J44"/>
    <mergeCell ref="H19:H20"/>
    <mergeCell ref="H46:H47"/>
    <mergeCell ref="H81:H82"/>
    <mergeCell ref="I21:I28"/>
    <mergeCell ref="C15:K15"/>
    <mergeCell ref="C16:K16"/>
    <mergeCell ref="K48:K55"/>
    <mergeCell ref="K56:K63"/>
    <mergeCell ref="K64:K71"/>
    <mergeCell ref="K72:K79"/>
    <mergeCell ref="K80:K82"/>
    <mergeCell ref="K18:K20"/>
    <mergeCell ref="K21:K28"/>
    <mergeCell ref="K29:K36"/>
    <mergeCell ref="K37:K44"/>
    <mergeCell ref="K45:K47"/>
    <mergeCell ref="C21:C28"/>
    <mergeCell ref="E21:E28"/>
    <mergeCell ref="F21:F28"/>
    <mergeCell ref="G19:G20"/>
    <mergeCell ref="D21:D28"/>
    <mergeCell ref="J18:J20"/>
    <mergeCell ref="J21:J28"/>
    <mergeCell ref="C18:C20"/>
    <mergeCell ref="F18:F20"/>
    <mergeCell ref="D18:D20"/>
    <mergeCell ref="I19:I20"/>
    <mergeCell ref="G18:I18"/>
    <mergeCell ref="B83:B90"/>
    <mergeCell ref="B91:B98"/>
    <mergeCell ref="B115:B122"/>
    <mergeCell ref="B48:B55"/>
    <mergeCell ref="B56:B63"/>
    <mergeCell ref="B64:B71"/>
    <mergeCell ref="B72:B79"/>
    <mergeCell ref="B80:B82"/>
    <mergeCell ref="B18:B20"/>
    <mergeCell ref="B21:B28"/>
    <mergeCell ref="B29:B36"/>
    <mergeCell ref="B37:B44"/>
    <mergeCell ref="B45:B47"/>
    <mergeCell ref="B99:B106"/>
    <mergeCell ref="B107:B114"/>
    <mergeCell ref="F99:F106"/>
    <mergeCell ref="K99:K106"/>
    <mergeCell ref="C107:C114"/>
    <mergeCell ref="D107:D114"/>
    <mergeCell ref="E107:E114"/>
    <mergeCell ref="F107:F114"/>
    <mergeCell ref="I99:I106"/>
    <mergeCell ref="I107:I114"/>
    <mergeCell ref="J107:J114"/>
    <mergeCell ref="K107:K114"/>
    <mergeCell ref="J99:J106"/>
  </mergeCells>
  <dataValidations count="1">
    <dataValidation type="list" allowBlank="1" showInputMessage="1" showErrorMessage="1" sqref="J48:J79 J21:J44 F48:F79 F83:F122 F21:F44 J83:J122" xr:uid="{00000000-0002-0000-0400-000000000000}">
      <formula1>"1,2,3"</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7" tint="-0.499984740745262"/>
  </sheetPr>
  <dimension ref="A1:N138"/>
  <sheetViews>
    <sheetView showGridLines="0" topLeftCell="A120" zoomScale="110" zoomScaleNormal="110" workbookViewId="0">
      <selection activeCell="K43" sqref="K43:K50"/>
    </sheetView>
  </sheetViews>
  <sheetFormatPr baseColWidth="10" defaultColWidth="9.140625" defaultRowHeight="32.25" customHeight="1"/>
  <cols>
    <col min="1" max="1" width="2.5703125" style="9" customWidth="1"/>
    <col min="2" max="2" width="4.42578125" style="9" hidden="1" customWidth="1"/>
    <col min="3" max="3" width="37.85546875" style="9" customWidth="1"/>
    <col min="4" max="4" width="37.85546875" style="9" hidden="1" customWidth="1"/>
    <col min="5" max="5" width="55.42578125" style="9" customWidth="1"/>
    <col min="6" max="6" width="7.42578125" style="9" customWidth="1"/>
    <col min="7" max="7" width="3.5703125" style="9" bestFit="1" customWidth="1"/>
    <col min="8" max="8" width="52.5703125" style="98" customWidth="1"/>
    <col min="9" max="9" width="39.5703125" style="9" customWidth="1"/>
    <col min="10" max="10" width="7.42578125" style="9" customWidth="1"/>
    <col min="11" max="11" width="13.28515625" style="9" customWidth="1"/>
    <col min="12" max="14" width="9.140625" style="47"/>
    <col min="15" max="16384" width="9.140625" style="9"/>
  </cols>
  <sheetData>
    <row r="1" spans="2:14" ht="16.5"/>
    <row r="2" spans="2:14" ht="16.5"/>
    <row r="3" spans="2:14" ht="16.5"/>
    <row r="4" spans="2:14" ht="16.5"/>
    <row r="5" spans="2:14" ht="16.5"/>
    <row r="6" spans="2:14" ht="16.5"/>
    <row r="7" spans="2:14" ht="16.5"/>
    <row r="9" spans="2:14" ht="16.5"/>
    <row r="11" spans="2:14" ht="16.5">
      <c r="C11" s="14"/>
      <c r="D11" s="14"/>
      <c r="E11" s="14"/>
      <c r="F11" s="14"/>
      <c r="G11" s="14"/>
      <c r="H11" s="105"/>
      <c r="I11" s="14"/>
    </row>
    <row r="12" spans="2:14" ht="26.25" customHeight="1">
      <c r="C12" s="766" t="s">
        <v>366</v>
      </c>
      <c r="D12" s="766"/>
      <c r="E12" s="766"/>
      <c r="F12" s="766"/>
      <c r="G12" s="766"/>
      <c r="H12" s="766"/>
      <c r="I12" s="766"/>
      <c r="J12" s="766"/>
      <c r="K12" s="766"/>
    </row>
    <row r="13" spans="2:14" ht="66.75" customHeight="1">
      <c r="C13" s="532" t="s">
        <v>367</v>
      </c>
      <c r="D13" s="532"/>
      <c r="E13" s="532"/>
      <c r="F13" s="532"/>
      <c r="G13" s="532"/>
      <c r="H13" s="532"/>
      <c r="I13" s="532"/>
      <c r="J13" s="532"/>
      <c r="K13" s="532"/>
    </row>
    <row r="14" spans="2:14" ht="16.5"/>
    <row r="15" spans="2:14" ht="12.75" customHeight="1">
      <c r="B15" s="759" t="s">
        <v>111</v>
      </c>
      <c r="C15" s="759" t="s">
        <v>368</v>
      </c>
      <c r="D15" s="778" t="s">
        <v>8</v>
      </c>
      <c r="E15" s="796" t="s">
        <v>147</v>
      </c>
      <c r="F15" s="786" t="s">
        <v>252</v>
      </c>
      <c r="G15" s="771" t="s">
        <v>115</v>
      </c>
      <c r="H15" s="771"/>
      <c r="I15" s="771"/>
      <c r="J15" s="786" t="s">
        <v>253</v>
      </c>
      <c r="K15" s="764" t="s">
        <v>150</v>
      </c>
      <c r="L15" s="661"/>
      <c r="M15" s="661"/>
      <c r="N15" s="661"/>
    </row>
    <row r="16" spans="2:14" ht="15" customHeight="1">
      <c r="B16" s="760"/>
      <c r="C16" s="760"/>
      <c r="D16" s="778"/>
      <c r="E16" s="797"/>
      <c r="F16" s="786"/>
      <c r="G16" s="771"/>
      <c r="H16" s="771"/>
      <c r="I16" s="771"/>
      <c r="J16" s="786"/>
      <c r="K16" s="764"/>
      <c r="L16" s="661"/>
      <c r="M16" s="661"/>
      <c r="N16" s="661"/>
    </row>
    <row r="17" spans="2:14" ht="27.75" customHeight="1">
      <c r="B17" s="760"/>
      <c r="C17" s="760"/>
      <c r="D17" s="778"/>
      <c r="E17" s="797"/>
      <c r="F17" s="786"/>
      <c r="G17" s="771" t="s">
        <v>13</v>
      </c>
      <c r="H17" s="778" t="s">
        <v>151</v>
      </c>
      <c r="I17" s="778" t="s">
        <v>118</v>
      </c>
      <c r="J17" s="786"/>
      <c r="K17" s="764"/>
      <c r="L17" s="661"/>
      <c r="M17" s="661"/>
      <c r="N17" s="661"/>
    </row>
    <row r="18" spans="2:14" ht="72" customHeight="1" thickBot="1">
      <c r="B18" s="760"/>
      <c r="C18" s="760"/>
      <c r="D18" s="778"/>
      <c r="E18" s="798"/>
      <c r="F18" s="786"/>
      <c r="G18" s="771"/>
      <c r="H18" s="778"/>
      <c r="I18" s="771"/>
      <c r="J18" s="786"/>
      <c r="K18" s="765"/>
      <c r="L18" s="661"/>
      <c r="M18" s="661"/>
      <c r="N18" s="661"/>
    </row>
    <row r="19" spans="2:14" ht="16.5" customHeight="1">
      <c r="B19" s="460" t="str">
        <f>+LEFT(C19,4)</f>
        <v>13.1</v>
      </c>
      <c r="C19" s="772" t="s">
        <v>369</v>
      </c>
      <c r="D19" s="582" t="s">
        <v>370</v>
      </c>
      <c r="E19" s="773" t="s">
        <v>371</v>
      </c>
      <c r="F19" s="585">
        <v>3</v>
      </c>
      <c r="G19" s="70">
        <v>1</v>
      </c>
      <c r="H19" s="108" t="s">
        <v>372</v>
      </c>
      <c r="I19" s="777" t="s">
        <v>932</v>
      </c>
      <c r="J19" s="601">
        <v>3</v>
      </c>
      <c r="K19" s="572" t="str">
        <f>+IF(OR(ISBLANK(F19),ISBLANK(J19)),"",IF(OR(AND(F19=1,J19=1),AND(F19=1,J19=2),AND(F19=1,J19=3)),"Deficiencia de control mayor (diseño y ejecución)",IF(OR(AND(F19=2,J19=2),AND(F19=3,J19=1),AND(F19=3,J19=2),AND(F19=2,J19=1)),"Deficiencia de control (diseño o ejecución)",IF(AND(F19=2,J19=3),"Oportunidad de mejora","Mantenimiento del control"))))</f>
        <v>Mantenimiento del control</v>
      </c>
      <c r="L19" s="457">
        <f>+IF(K19="",231,IF(K19="Deficiencia de control mayor (diseño y ejecución)",240,IF(K19="Deficiencia de control (diseño o ejecución)",260,IF(K19="Oportunidad de mejora",280,300))))</f>
        <v>300</v>
      </c>
      <c r="M19" s="662">
        <v>4.4569000000000001</v>
      </c>
      <c r="N19" s="662">
        <f>+L19+M19</f>
        <v>304.45690000000002</v>
      </c>
    </row>
    <row r="20" spans="2:14" ht="16.5">
      <c r="B20" s="461"/>
      <c r="C20" s="768"/>
      <c r="D20" s="583"/>
      <c r="E20" s="624"/>
      <c r="F20" s="586"/>
      <c r="G20" s="68">
        <v>2</v>
      </c>
      <c r="H20" s="109" t="s">
        <v>374</v>
      </c>
      <c r="I20" s="586"/>
      <c r="J20" s="602"/>
      <c r="K20" s="573"/>
      <c r="L20" s="457"/>
      <c r="M20" s="662"/>
      <c r="N20" s="662"/>
    </row>
    <row r="21" spans="2:14" ht="16.5">
      <c r="B21" s="461"/>
      <c r="C21" s="768"/>
      <c r="D21" s="583"/>
      <c r="E21" s="624"/>
      <c r="F21" s="586"/>
      <c r="G21" s="68">
        <v>3</v>
      </c>
      <c r="H21" s="106"/>
      <c r="I21" s="586"/>
      <c r="J21" s="602"/>
      <c r="K21" s="573"/>
      <c r="L21" s="457"/>
      <c r="M21" s="662"/>
      <c r="N21" s="662"/>
    </row>
    <row r="22" spans="2:14" ht="16.5">
      <c r="B22" s="461"/>
      <c r="C22" s="768"/>
      <c r="D22" s="583"/>
      <c r="E22" s="624"/>
      <c r="F22" s="586"/>
      <c r="G22" s="68">
        <v>4</v>
      </c>
      <c r="H22" s="106"/>
      <c r="I22" s="586"/>
      <c r="J22" s="602"/>
      <c r="K22" s="573"/>
      <c r="L22" s="457"/>
      <c r="M22" s="662"/>
      <c r="N22" s="662"/>
    </row>
    <row r="23" spans="2:14" ht="16.5">
      <c r="B23" s="461"/>
      <c r="C23" s="768"/>
      <c r="D23" s="583"/>
      <c r="E23" s="624"/>
      <c r="F23" s="586"/>
      <c r="G23" s="68">
        <v>5</v>
      </c>
      <c r="H23" s="106"/>
      <c r="I23" s="586"/>
      <c r="J23" s="602"/>
      <c r="K23" s="573"/>
      <c r="L23" s="457"/>
      <c r="M23" s="662"/>
      <c r="N23" s="662"/>
    </row>
    <row r="24" spans="2:14" ht="16.5">
      <c r="B24" s="461"/>
      <c r="C24" s="768"/>
      <c r="D24" s="583"/>
      <c r="E24" s="624"/>
      <c r="F24" s="586"/>
      <c r="G24" s="68">
        <v>6</v>
      </c>
      <c r="H24" s="106"/>
      <c r="I24" s="586"/>
      <c r="J24" s="602"/>
      <c r="K24" s="573"/>
      <c r="L24" s="457"/>
      <c r="M24" s="662"/>
      <c r="N24" s="662"/>
    </row>
    <row r="25" spans="2:14" ht="16.5">
      <c r="B25" s="461"/>
      <c r="C25" s="768"/>
      <c r="D25" s="583"/>
      <c r="E25" s="624"/>
      <c r="F25" s="586"/>
      <c r="G25" s="68">
        <v>7</v>
      </c>
      <c r="H25" s="106"/>
      <c r="I25" s="586"/>
      <c r="J25" s="602"/>
      <c r="K25" s="573"/>
      <c r="L25" s="457"/>
      <c r="M25" s="662"/>
      <c r="N25" s="662"/>
    </row>
    <row r="26" spans="2:14" ht="17.25" thickBot="1">
      <c r="B26" s="462"/>
      <c r="C26" s="769"/>
      <c r="D26" s="584"/>
      <c r="E26" s="625"/>
      <c r="F26" s="587"/>
      <c r="G26" s="69">
        <v>8</v>
      </c>
      <c r="H26" s="107"/>
      <c r="I26" s="587"/>
      <c r="J26" s="603"/>
      <c r="K26" s="592"/>
      <c r="L26" s="457"/>
      <c r="M26" s="662"/>
      <c r="N26" s="662"/>
    </row>
    <row r="27" spans="2:14" ht="33.75" thickBot="1">
      <c r="B27" s="460" t="str">
        <f>+LEFT(C27,4)</f>
        <v>13.2</v>
      </c>
      <c r="C27" s="767" t="s">
        <v>375</v>
      </c>
      <c r="D27" s="582" t="s">
        <v>376</v>
      </c>
      <c r="E27" s="770" t="s">
        <v>780</v>
      </c>
      <c r="F27" s="585">
        <v>3</v>
      </c>
      <c r="G27" s="70">
        <v>1</v>
      </c>
      <c r="H27" s="109" t="s">
        <v>779</v>
      </c>
      <c r="I27" s="777" t="s">
        <v>781</v>
      </c>
      <c r="J27" s="601">
        <v>3</v>
      </c>
      <c r="K27" s="572" t="str">
        <f>+IF(OR(ISBLANK(F27),ISBLANK(J27)),"",IF(OR(AND(F27=1,J27=1),AND(F27=1,J27=2),AND(F27=1,J27=3)),"Deficiencia de control mayor (diseño y ejecución)",IF(OR(AND(F27=2,J27=2),AND(F27=3,J27=1),AND(F27=3,J27=2),AND(F27=2,J27=1)),"Deficiencia de control (diseño o ejecución)",IF(AND(F27=2,J27=3),"Oportunidad de mejora","Mantenimiento del control"))))</f>
        <v>Mantenimiento del control</v>
      </c>
      <c r="L27" s="457">
        <f>+IF(K27="",231,IF(K27="Deficiencia de control mayor (diseño y ejecución)",240,IF(K27="Deficiencia de control (diseño o ejecución)",260,IF(K27="Oportunidad de mejora",280,300))))</f>
        <v>300</v>
      </c>
      <c r="M27" s="662">
        <v>4.5632000000000001</v>
      </c>
      <c r="N27" s="662">
        <f>+L27+M27</f>
        <v>304.56319999999999</v>
      </c>
    </row>
    <row r="28" spans="2:14" ht="33">
      <c r="B28" s="461"/>
      <c r="C28" s="768"/>
      <c r="D28" s="583"/>
      <c r="E28" s="405"/>
      <c r="F28" s="586"/>
      <c r="G28" s="68">
        <v>2</v>
      </c>
      <c r="H28" s="108" t="s">
        <v>377</v>
      </c>
      <c r="I28" s="586"/>
      <c r="J28" s="602"/>
      <c r="K28" s="573"/>
      <c r="L28" s="457"/>
      <c r="M28" s="662"/>
      <c r="N28" s="662"/>
    </row>
    <row r="29" spans="2:14" ht="33">
      <c r="B29" s="461"/>
      <c r="C29" s="768"/>
      <c r="D29" s="583"/>
      <c r="E29" s="405"/>
      <c r="F29" s="586"/>
      <c r="G29" s="68">
        <v>3</v>
      </c>
      <c r="H29" s="109" t="s">
        <v>378</v>
      </c>
      <c r="I29" s="586"/>
      <c r="J29" s="602"/>
      <c r="K29" s="573"/>
      <c r="L29" s="457"/>
      <c r="M29" s="662"/>
      <c r="N29" s="662"/>
    </row>
    <row r="30" spans="2:14" ht="33">
      <c r="B30" s="461"/>
      <c r="C30" s="768"/>
      <c r="D30" s="583"/>
      <c r="E30" s="405"/>
      <c r="F30" s="586"/>
      <c r="G30" s="68">
        <v>4</v>
      </c>
      <c r="H30" s="109" t="s">
        <v>379</v>
      </c>
      <c r="I30" s="586"/>
      <c r="J30" s="602"/>
      <c r="K30" s="573"/>
      <c r="L30" s="457"/>
      <c r="M30" s="662"/>
      <c r="N30" s="662"/>
    </row>
    <row r="31" spans="2:14" ht="16.5">
      <c r="B31" s="461"/>
      <c r="C31" s="768"/>
      <c r="D31" s="583"/>
      <c r="E31" s="405"/>
      <c r="F31" s="586"/>
      <c r="G31" s="68">
        <v>5</v>
      </c>
      <c r="H31" s="106"/>
      <c r="I31" s="586"/>
      <c r="J31" s="602"/>
      <c r="K31" s="573"/>
      <c r="L31" s="457"/>
      <c r="M31" s="662"/>
      <c r="N31" s="662"/>
    </row>
    <row r="32" spans="2:14" ht="16.5">
      <c r="B32" s="461"/>
      <c r="C32" s="768"/>
      <c r="D32" s="583"/>
      <c r="E32" s="405"/>
      <c r="F32" s="586"/>
      <c r="G32" s="68">
        <v>6</v>
      </c>
      <c r="H32" s="106"/>
      <c r="I32" s="586"/>
      <c r="J32" s="602"/>
      <c r="K32" s="573"/>
      <c r="L32" s="457"/>
      <c r="M32" s="662"/>
      <c r="N32" s="662"/>
    </row>
    <row r="33" spans="1:14" ht="16.5">
      <c r="B33" s="461"/>
      <c r="C33" s="768"/>
      <c r="D33" s="583"/>
      <c r="E33" s="405"/>
      <c r="F33" s="586"/>
      <c r="G33" s="68">
        <v>7</v>
      </c>
      <c r="H33" s="106"/>
      <c r="I33" s="586"/>
      <c r="J33" s="602"/>
      <c r="K33" s="573"/>
      <c r="L33" s="457"/>
      <c r="M33" s="662"/>
      <c r="N33" s="662"/>
    </row>
    <row r="34" spans="1:14" ht="23.25" customHeight="1" thickBot="1">
      <c r="B34" s="462"/>
      <c r="C34" s="769"/>
      <c r="D34" s="584"/>
      <c r="E34" s="406"/>
      <c r="F34" s="587"/>
      <c r="G34" s="69">
        <v>8</v>
      </c>
      <c r="H34" s="107"/>
      <c r="I34" s="587"/>
      <c r="J34" s="603"/>
      <c r="K34" s="592"/>
      <c r="L34" s="457"/>
      <c r="M34" s="662"/>
      <c r="N34" s="662"/>
    </row>
    <row r="35" spans="1:14" ht="16.5" customHeight="1">
      <c r="B35" s="460" t="str">
        <f>+LEFT(C35,4)</f>
        <v>13.3</v>
      </c>
      <c r="C35" s="774" t="s">
        <v>380</v>
      </c>
      <c r="D35" s="582" t="s">
        <v>376</v>
      </c>
      <c r="E35" s="777" t="s">
        <v>371</v>
      </c>
      <c r="F35" s="585">
        <v>3</v>
      </c>
      <c r="G35" s="70">
        <v>1</v>
      </c>
      <c r="H35" s="108" t="s">
        <v>381</v>
      </c>
      <c r="I35" s="777" t="s">
        <v>373</v>
      </c>
      <c r="J35" s="601">
        <v>3</v>
      </c>
      <c r="K35" s="572" t="str">
        <f>+IF(OR(ISBLANK(F35),ISBLANK(J35)),"",IF(OR(AND(F35=1,J35=1),AND(F35=1,J35=2),AND(F35=1,J35=3)),"Deficiencia de control mayor (diseño y ejecución)",IF(OR(AND(F35=2,J35=2),AND(F35=3,J35=1),AND(F35=3,J35=2),AND(F35=2,J35=1)),"Deficiencia de control (diseño o ejecución)",IF(AND(F35=2,J35=3),"Oportunidad de mejora","Mantenimiento del control"))))</f>
        <v>Mantenimiento del control</v>
      </c>
      <c r="L35" s="457">
        <f>+IF(K35="",231,IF(K35="Deficiencia de control mayor (diseño y ejecución)",240,IF(K35="Deficiencia de control (diseño o ejecución)",260,IF(K35="Oportunidad de mejora",280,300))))</f>
        <v>300</v>
      </c>
      <c r="M35" s="662">
        <v>4.6321000000000003</v>
      </c>
      <c r="N35" s="662">
        <f>+L35+M35</f>
        <v>304.63209999999998</v>
      </c>
    </row>
    <row r="36" spans="1:14" ht="16.5">
      <c r="B36" s="461"/>
      <c r="C36" s="775"/>
      <c r="D36" s="583"/>
      <c r="E36" s="586"/>
      <c r="F36" s="586"/>
      <c r="G36" s="68">
        <v>2</v>
      </c>
      <c r="H36" s="109" t="s">
        <v>374</v>
      </c>
      <c r="I36" s="586"/>
      <c r="J36" s="602"/>
      <c r="K36" s="573"/>
      <c r="L36" s="457"/>
      <c r="M36" s="662"/>
      <c r="N36" s="662"/>
    </row>
    <row r="37" spans="1:14" ht="16.5">
      <c r="B37" s="461"/>
      <c r="C37" s="775"/>
      <c r="D37" s="583"/>
      <c r="E37" s="586"/>
      <c r="F37" s="586"/>
      <c r="G37" s="68">
        <v>3</v>
      </c>
      <c r="H37" s="109" t="s">
        <v>382</v>
      </c>
      <c r="I37" s="586"/>
      <c r="J37" s="602"/>
      <c r="K37" s="573"/>
      <c r="L37" s="457"/>
      <c r="M37" s="662"/>
      <c r="N37" s="662"/>
    </row>
    <row r="38" spans="1:14" ht="16.5">
      <c r="B38" s="461"/>
      <c r="C38" s="775"/>
      <c r="D38" s="583"/>
      <c r="E38" s="586"/>
      <c r="F38" s="586"/>
      <c r="G38" s="68">
        <v>4</v>
      </c>
      <c r="H38" s="106"/>
      <c r="I38" s="586"/>
      <c r="J38" s="602"/>
      <c r="K38" s="573"/>
      <c r="L38" s="457"/>
      <c r="M38" s="662"/>
      <c r="N38" s="662"/>
    </row>
    <row r="39" spans="1:14" ht="16.5">
      <c r="B39" s="461"/>
      <c r="C39" s="775"/>
      <c r="D39" s="583"/>
      <c r="E39" s="586"/>
      <c r="F39" s="586"/>
      <c r="G39" s="68">
        <v>5</v>
      </c>
      <c r="H39" s="106"/>
      <c r="I39" s="586"/>
      <c r="J39" s="602"/>
      <c r="K39" s="573"/>
      <c r="L39" s="457"/>
      <c r="M39" s="662"/>
      <c r="N39" s="662"/>
    </row>
    <row r="40" spans="1:14" ht="16.5">
      <c r="B40" s="461"/>
      <c r="C40" s="775"/>
      <c r="D40" s="583"/>
      <c r="E40" s="586"/>
      <c r="F40" s="586"/>
      <c r="G40" s="68">
        <v>6</v>
      </c>
      <c r="H40" s="106"/>
      <c r="I40" s="586"/>
      <c r="J40" s="602"/>
      <c r="K40" s="573"/>
      <c r="L40" s="457"/>
      <c r="M40" s="662"/>
      <c r="N40" s="662"/>
    </row>
    <row r="41" spans="1:14" ht="16.5">
      <c r="B41" s="461"/>
      <c r="C41" s="775"/>
      <c r="D41" s="583"/>
      <c r="E41" s="586"/>
      <c r="F41" s="586"/>
      <c r="G41" s="68">
        <v>7</v>
      </c>
      <c r="H41" s="106"/>
      <c r="I41" s="586"/>
      <c r="J41" s="602"/>
      <c r="K41" s="573"/>
      <c r="L41" s="457"/>
      <c r="M41" s="662"/>
      <c r="N41" s="662"/>
    </row>
    <row r="42" spans="1:14" ht="17.25" thickBot="1">
      <c r="B42" s="462"/>
      <c r="C42" s="776"/>
      <c r="D42" s="584"/>
      <c r="E42" s="587"/>
      <c r="F42" s="587"/>
      <c r="G42" s="69">
        <v>8</v>
      </c>
      <c r="H42" s="107"/>
      <c r="I42" s="587"/>
      <c r="J42" s="603"/>
      <c r="K42" s="592"/>
      <c r="L42" s="457"/>
      <c r="M42" s="662"/>
      <c r="N42" s="662"/>
    </row>
    <row r="43" spans="1:14" ht="82.5" customHeight="1">
      <c r="A43" s="799"/>
      <c r="B43" s="460" t="str">
        <f>+LEFT(C43,4)</f>
        <v>13.4</v>
      </c>
      <c r="C43" s="774" t="s">
        <v>383</v>
      </c>
      <c r="D43" s="582" t="s">
        <v>376</v>
      </c>
      <c r="E43" s="640" t="s">
        <v>782</v>
      </c>
      <c r="F43" s="585">
        <v>3</v>
      </c>
      <c r="G43" s="70">
        <v>1</v>
      </c>
      <c r="H43" s="109" t="s">
        <v>783</v>
      </c>
      <c r="I43" s="777" t="s">
        <v>933</v>
      </c>
      <c r="J43" s="437">
        <v>2</v>
      </c>
      <c r="K43" s="572" t="str">
        <f>+IF(OR(ISBLANK(F43),ISBLANK(J43)),"",IF(OR(AND(F43=1,J43=1),AND(F43=1,J43=2),AND(F43=1,J43=3)),"Deficiencia de control mayor (diseño y ejecución)",IF(OR(AND(F43=2,J43=2),AND(F43=3,J43=1),AND(F43=3,J43=2),AND(F43=2,J43=1)),"Deficiencia de control (diseño o ejecución)",IF(AND(F43=2,J43=3),"Oportunidad de mejora","Mantenimiento del control"))))</f>
        <v>Deficiencia de control (diseño o ejecución)</v>
      </c>
      <c r="L43" s="457">
        <f>+IF(K43="",231,IF(K43="Deficiencia de control mayor (diseño y ejecución)",240,IF(K43="Deficiencia de control (diseño o ejecución)",260,IF(K43="Oportunidad de mejora",280,300))))</f>
        <v>260</v>
      </c>
      <c r="M43" s="662">
        <v>4.7896000000000001</v>
      </c>
      <c r="N43" s="662">
        <f>+L43+M43</f>
        <v>264.78960000000001</v>
      </c>
    </row>
    <row r="44" spans="1:14" ht="99" customHeight="1">
      <c r="A44" s="799"/>
      <c r="B44" s="461"/>
      <c r="C44" s="775"/>
      <c r="D44" s="583"/>
      <c r="E44" s="586"/>
      <c r="F44" s="586"/>
      <c r="G44" s="68">
        <v>2</v>
      </c>
      <c r="H44" s="109" t="s">
        <v>784</v>
      </c>
      <c r="I44" s="586"/>
      <c r="J44" s="438"/>
      <c r="K44" s="573"/>
      <c r="L44" s="457"/>
      <c r="M44" s="662"/>
      <c r="N44" s="662"/>
    </row>
    <row r="45" spans="1:14" ht="66" customHeight="1">
      <c r="B45" s="461"/>
      <c r="C45" s="775"/>
      <c r="D45" s="583"/>
      <c r="E45" s="586"/>
      <c r="F45" s="586"/>
      <c r="G45" s="68">
        <v>3</v>
      </c>
      <c r="H45" s="109" t="s">
        <v>785</v>
      </c>
      <c r="I45" s="586"/>
      <c r="J45" s="438"/>
      <c r="K45" s="573"/>
      <c r="L45" s="457"/>
      <c r="M45" s="662"/>
      <c r="N45" s="662"/>
    </row>
    <row r="46" spans="1:14" ht="82.5" customHeight="1" thickBot="1">
      <c r="B46" s="461"/>
      <c r="C46" s="775"/>
      <c r="D46" s="583"/>
      <c r="E46" s="586"/>
      <c r="F46" s="586"/>
      <c r="G46" s="68">
        <v>4</v>
      </c>
      <c r="H46" s="110" t="s">
        <v>384</v>
      </c>
      <c r="I46" s="586"/>
      <c r="J46" s="438"/>
      <c r="K46" s="573"/>
      <c r="L46" s="457"/>
      <c r="M46" s="662"/>
      <c r="N46" s="662"/>
    </row>
    <row r="47" spans="1:14" ht="99.75" customHeight="1">
      <c r="B47" s="461"/>
      <c r="C47" s="775"/>
      <c r="D47" s="583"/>
      <c r="E47" s="586"/>
      <c r="F47" s="586"/>
      <c r="G47" s="68">
        <v>5</v>
      </c>
      <c r="H47" s="108" t="s">
        <v>385</v>
      </c>
      <c r="I47" s="586"/>
      <c r="J47" s="438"/>
      <c r="K47" s="573"/>
      <c r="L47" s="457"/>
      <c r="M47" s="662"/>
      <c r="N47" s="662"/>
    </row>
    <row r="48" spans="1:14" ht="52.5" customHeight="1">
      <c r="B48" s="461"/>
      <c r="C48" s="775"/>
      <c r="D48" s="583"/>
      <c r="E48" s="586"/>
      <c r="F48" s="586"/>
      <c r="G48" s="68">
        <v>6</v>
      </c>
      <c r="H48" s="109" t="s">
        <v>786</v>
      </c>
      <c r="I48" s="586"/>
      <c r="J48" s="438"/>
      <c r="K48" s="573"/>
      <c r="L48" s="457"/>
      <c r="M48" s="662"/>
      <c r="N48" s="662"/>
    </row>
    <row r="49" spans="2:14" ht="115.5">
      <c r="B49" s="461"/>
      <c r="C49" s="775"/>
      <c r="D49" s="583"/>
      <c r="E49" s="586"/>
      <c r="F49" s="586"/>
      <c r="G49" s="68">
        <v>7</v>
      </c>
      <c r="H49" s="109" t="s">
        <v>386</v>
      </c>
      <c r="I49" s="586"/>
      <c r="J49" s="438"/>
      <c r="K49" s="573"/>
      <c r="L49" s="457"/>
      <c r="M49" s="662"/>
      <c r="N49" s="662"/>
    </row>
    <row r="50" spans="2:14" ht="17.25" thickBot="1">
      <c r="B50" s="462"/>
      <c r="C50" s="776"/>
      <c r="D50" s="584"/>
      <c r="E50" s="587"/>
      <c r="F50" s="587"/>
      <c r="G50" s="69">
        <v>8</v>
      </c>
      <c r="I50" s="587"/>
      <c r="J50" s="439"/>
      <c r="K50" s="592"/>
      <c r="L50" s="457"/>
      <c r="M50" s="662"/>
      <c r="N50" s="662"/>
    </row>
    <row r="51" spans="2:14" ht="12.75" customHeight="1">
      <c r="B51" s="761"/>
      <c r="C51" s="761" t="s">
        <v>387</v>
      </c>
      <c r="D51" s="778" t="s">
        <v>8</v>
      </c>
      <c r="E51" s="800" t="s">
        <v>147</v>
      </c>
      <c r="F51" s="780" t="s">
        <v>252</v>
      </c>
      <c r="G51" s="785" t="s">
        <v>115</v>
      </c>
      <c r="H51" s="785"/>
      <c r="I51" s="785"/>
      <c r="J51" s="780" t="s">
        <v>253</v>
      </c>
      <c r="K51" s="762" t="s">
        <v>150</v>
      </c>
      <c r="L51" s="660"/>
      <c r="M51" s="660"/>
      <c r="N51" s="660"/>
    </row>
    <row r="52" spans="2:14" ht="15" customHeight="1">
      <c r="B52" s="760"/>
      <c r="C52" s="760"/>
      <c r="D52" s="778"/>
      <c r="E52" s="801"/>
      <c r="F52" s="780"/>
      <c r="G52" s="785"/>
      <c r="H52" s="785"/>
      <c r="I52" s="785"/>
      <c r="J52" s="780"/>
      <c r="K52" s="762"/>
      <c r="L52" s="660"/>
      <c r="M52" s="660"/>
      <c r="N52" s="660"/>
    </row>
    <row r="53" spans="2:14" ht="27.75" customHeight="1">
      <c r="B53" s="760"/>
      <c r="C53" s="760"/>
      <c r="D53" s="778"/>
      <c r="E53" s="801"/>
      <c r="F53" s="780"/>
      <c r="G53" s="785" t="s">
        <v>13</v>
      </c>
      <c r="H53" s="779" t="s">
        <v>151</v>
      </c>
      <c r="I53" s="779" t="s">
        <v>118</v>
      </c>
      <c r="J53" s="780"/>
      <c r="K53" s="762"/>
      <c r="L53" s="660"/>
      <c r="M53" s="660"/>
      <c r="N53" s="660"/>
    </row>
    <row r="54" spans="2:14" ht="87.75" customHeight="1" thickBot="1">
      <c r="B54" s="760"/>
      <c r="C54" s="760"/>
      <c r="D54" s="778"/>
      <c r="E54" s="802"/>
      <c r="F54" s="780"/>
      <c r="G54" s="785"/>
      <c r="H54" s="779"/>
      <c r="I54" s="785"/>
      <c r="J54" s="780"/>
      <c r="K54" s="763"/>
      <c r="L54" s="660"/>
      <c r="M54" s="660"/>
      <c r="N54" s="660"/>
    </row>
    <row r="55" spans="2:14" ht="99">
      <c r="B55" s="460" t="str">
        <f>+LEFT(C55,4)</f>
        <v>14.1</v>
      </c>
      <c r="C55" s="793" t="s">
        <v>388</v>
      </c>
      <c r="D55" s="582" t="s">
        <v>389</v>
      </c>
      <c r="E55" s="640" t="s">
        <v>787</v>
      </c>
      <c r="F55" s="585">
        <v>3</v>
      </c>
      <c r="G55" s="70">
        <v>1</v>
      </c>
      <c r="H55" s="109" t="s">
        <v>819</v>
      </c>
      <c r="I55" s="650" t="s">
        <v>818</v>
      </c>
      <c r="J55" s="601">
        <v>3</v>
      </c>
      <c r="K55" s="572" t="str">
        <f>+IF(OR(ISBLANK(F55),ISBLANK(J55)),"",IF(OR(AND(F55=1,J55=1),AND(F55=1,J55=2),AND(F55=1,J55=3)),"Deficiencia de control mayor (diseño y ejecución)",IF(OR(AND(F55=2,J55=2),AND(F55=3,J55=1),AND(F55=3,J55=2),AND(F55=2,J55=1)),"Deficiencia de control (diseño o ejecución)",IF(AND(F55=2,J55=3),"Oportunidad de mejora","Mantenimiento del control"))))</f>
        <v>Mantenimiento del control</v>
      </c>
      <c r="L55" s="457">
        <f>+IF(K55="",231,IF(K55="Deficiencia de control mayor (diseño y ejecución)",240,IF(K55="Deficiencia de control (diseño o ejecución)",260,IF(K55="Oportunidad de mejora",280,300))))</f>
        <v>300</v>
      </c>
      <c r="M55" s="662">
        <v>4.8964999999999996</v>
      </c>
      <c r="N55" s="662">
        <f>+L55+M55</f>
        <v>304.8965</v>
      </c>
    </row>
    <row r="56" spans="2:14" ht="42.75" customHeight="1">
      <c r="B56" s="461"/>
      <c r="C56" s="794"/>
      <c r="D56" s="583"/>
      <c r="E56" s="586"/>
      <c r="F56" s="586"/>
      <c r="G56" s="68">
        <v>2</v>
      </c>
      <c r="H56" s="109" t="s">
        <v>390</v>
      </c>
      <c r="I56" s="651"/>
      <c r="J56" s="602"/>
      <c r="K56" s="573"/>
      <c r="L56" s="457"/>
      <c r="M56" s="662"/>
      <c r="N56" s="662"/>
    </row>
    <row r="57" spans="2:14" ht="24.75" customHeight="1">
      <c r="B57" s="461"/>
      <c r="C57" s="794"/>
      <c r="D57" s="583"/>
      <c r="E57" s="586"/>
      <c r="F57" s="586"/>
      <c r="G57" s="68">
        <v>3</v>
      </c>
      <c r="H57" s="109" t="s">
        <v>391</v>
      </c>
      <c r="I57" s="651"/>
      <c r="J57" s="602"/>
      <c r="K57" s="573"/>
      <c r="L57" s="457"/>
      <c r="M57" s="662"/>
      <c r="N57" s="662"/>
    </row>
    <row r="58" spans="2:14" ht="50.25" customHeight="1">
      <c r="B58" s="461"/>
      <c r="C58" s="794"/>
      <c r="D58" s="583"/>
      <c r="E58" s="586"/>
      <c r="F58" s="586"/>
      <c r="G58" s="68">
        <v>4</v>
      </c>
      <c r="H58" s="109" t="s">
        <v>820</v>
      </c>
      <c r="I58" s="651"/>
      <c r="J58" s="602"/>
      <c r="K58" s="573"/>
      <c r="L58" s="457"/>
      <c r="M58" s="662"/>
      <c r="N58" s="662"/>
    </row>
    <row r="59" spans="2:14" ht="24.75" customHeight="1">
      <c r="B59" s="461"/>
      <c r="C59" s="794"/>
      <c r="D59" s="583"/>
      <c r="E59" s="586"/>
      <c r="F59" s="586"/>
      <c r="G59" s="68">
        <v>5</v>
      </c>
      <c r="H59" s="106"/>
      <c r="I59" s="651"/>
      <c r="J59" s="602"/>
      <c r="K59" s="573"/>
      <c r="L59" s="457"/>
      <c r="M59" s="662"/>
      <c r="N59" s="662"/>
    </row>
    <row r="60" spans="2:14" ht="24.75" customHeight="1">
      <c r="B60" s="461"/>
      <c r="C60" s="794"/>
      <c r="D60" s="583"/>
      <c r="E60" s="586"/>
      <c r="F60" s="586"/>
      <c r="G60" s="68">
        <v>6</v>
      </c>
      <c r="H60" s="106"/>
      <c r="I60" s="651"/>
      <c r="J60" s="602"/>
      <c r="K60" s="573"/>
      <c r="L60" s="457"/>
      <c r="M60" s="662"/>
      <c r="N60" s="662"/>
    </row>
    <row r="61" spans="2:14" ht="24.75" customHeight="1">
      <c r="B61" s="461"/>
      <c r="C61" s="794"/>
      <c r="D61" s="583"/>
      <c r="E61" s="586"/>
      <c r="F61" s="586"/>
      <c r="G61" s="68">
        <v>7</v>
      </c>
      <c r="H61" s="106"/>
      <c r="I61" s="651"/>
      <c r="J61" s="602"/>
      <c r="K61" s="573"/>
      <c r="L61" s="457"/>
      <c r="M61" s="662"/>
      <c r="N61" s="662"/>
    </row>
    <row r="62" spans="2:14" ht="24.75" customHeight="1" thickBot="1">
      <c r="B62" s="462"/>
      <c r="C62" s="795"/>
      <c r="D62" s="584"/>
      <c r="E62" s="587"/>
      <c r="F62" s="587"/>
      <c r="G62" s="69">
        <v>8</v>
      </c>
      <c r="H62" s="107"/>
      <c r="I62" s="652"/>
      <c r="J62" s="603"/>
      <c r="K62" s="592"/>
      <c r="L62" s="457"/>
      <c r="M62" s="662"/>
      <c r="N62" s="662"/>
    </row>
    <row r="63" spans="2:14" ht="49.5">
      <c r="B63" s="460" t="str">
        <f>+LEFT(C63,4)</f>
        <v>14.2</v>
      </c>
      <c r="C63" s="793" t="s">
        <v>392</v>
      </c>
      <c r="D63" s="582" t="s">
        <v>389</v>
      </c>
      <c r="E63" s="735" t="s">
        <v>788</v>
      </c>
      <c r="F63" s="585">
        <v>3</v>
      </c>
      <c r="G63" s="70">
        <v>1</v>
      </c>
      <c r="H63" s="100" t="s">
        <v>821</v>
      </c>
      <c r="I63" s="650" t="s">
        <v>928</v>
      </c>
      <c r="J63" s="601">
        <v>3</v>
      </c>
      <c r="K63" s="572" t="str">
        <f>+IF(OR(ISBLANK(F63),ISBLANK(J63)),"",IF(OR(AND(F63=1,J63=1),AND(F63=1,J63=2),AND(F63=1,J63=3)),"Deficiencia de control mayor (diseño y ejecución)",IF(OR(AND(F63=2,J63=2),AND(F63=3,J63=1),AND(F63=3,J63=2),AND(F63=2,J63=1)),"Deficiencia de control (diseño o ejecución)",IF(AND(F63=2,J63=3),"Oportunidad de mejora","Mantenimiento del control"))))</f>
        <v>Mantenimiento del control</v>
      </c>
      <c r="L63" s="457">
        <f>+IF(K63="",231,IF(K63="Deficiencia de control mayor (diseño y ejecución)",240,IF(K63="Deficiencia de control (diseño o ejecución)",260,IF(K63="Oportunidad de mejora",280,300))))</f>
        <v>300</v>
      </c>
      <c r="M63" s="662">
        <v>4.9854000000000003</v>
      </c>
      <c r="N63" s="662">
        <f>+L63+M63</f>
        <v>304.98540000000003</v>
      </c>
    </row>
    <row r="64" spans="2:14" ht="33">
      <c r="B64" s="461"/>
      <c r="C64" s="794"/>
      <c r="D64" s="583"/>
      <c r="E64" s="426"/>
      <c r="F64" s="586"/>
      <c r="G64" s="68">
        <v>2</v>
      </c>
      <c r="H64" s="100" t="s">
        <v>393</v>
      </c>
      <c r="I64" s="651"/>
      <c r="J64" s="602"/>
      <c r="K64" s="573"/>
      <c r="L64" s="457"/>
      <c r="M64" s="662"/>
      <c r="N64" s="662"/>
    </row>
    <row r="65" spans="2:14" ht="16.5">
      <c r="B65" s="461"/>
      <c r="C65" s="794"/>
      <c r="D65" s="583"/>
      <c r="E65" s="426"/>
      <c r="F65" s="586"/>
      <c r="G65" s="68">
        <v>3</v>
      </c>
      <c r="H65" s="106"/>
      <c r="I65" s="651"/>
      <c r="J65" s="602"/>
      <c r="K65" s="573"/>
      <c r="L65" s="457"/>
      <c r="M65" s="662"/>
      <c r="N65" s="662"/>
    </row>
    <row r="66" spans="2:14" ht="16.5">
      <c r="B66" s="461"/>
      <c r="C66" s="794"/>
      <c r="D66" s="583"/>
      <c r="E66" s="426"/>
      <c r="F66" s="586"/>
      <c r="G66" s="68">
        <v>4</v>
      </c>
      <c r="H66" s="106"/>
      <c r="I66" s="651"/>
      <c r="J66" s="602"/>
      <c r="K66" s="573"/>
      <c r="L66" s="457"/>
      <c r="M66" s="662"/>
      <c r="N66" s="662"/>
    </row>
    <row r="67" spans="2:14" ht="16.5">
      <c r="B67" s="461"/>
      <c r="C67" s="794"/>
      <c r="D67" s="583"/>
      <c r="E67" s="426"/>
      <c r="F67" s="586"/>
      <c r="G67" s="68">
        <v>5</v>
      </c>
      <c r="H67" s="106"/>
      <c r="I67" s="651"/>
      <c r="J67" s="602"/>
      <c r="K67" s="573"/>
      <c r="L67" s="457"/>
      <c r="M67" s="662"/>
      <c r="N67" s="662"/>
    </row>
    <row r="68" spans="2:14" ht="16.5">
      <c r="B68" s="461"/>
      <c r="C68" s="794"/>
      <c r="D68" s="583"/>
      <c r="E68" s="426"/>
      <c r="F68" s="586"/>
      <c r="G68" s="68">
        <v>6</v>
      </c>
      <c r="H68" s="106"/>
      <c r="I68" s="651"/>
      <c r="J68" s="602"/>
      <c r="K68" s="573"/>
      <c r="L68" s="457"/>
      <c r="M68" s="662"/>
      <c r="N68" s="662"/>
    </row>
    <row r="69" spans="2:14" ht="16.5">
      <c r="B69" s="461"/>
      <c r="C69" s="794"/>
      <c r="D69" s="583"/>
      <c r="E69" s="426"/>
      <c r="F69" s="586"/>
      <c r="G69" s="68">
        <v>7</v>
      </c>
      <c r="H69" s="106"/>
      <c r="I69" s="651"/>
      <c r="J69" s="602"/>
      <c r="K69" s="573"/>
      <c r="L69" s="457"/>
      <c r="M69" s="662"/>
      <c r="N69" s="662"/>
    </row>
    <row r="70" spans="2:14" ht="36.75" customHeight="1" thickBot="1">
      <c r="B70" s="462"/>
      <c r="C70" s="795"/>
      <c r="D70" s="584"/>
      <c r="E70" s="427"/>
      <c r="F70" s="587"/>
      <c r="G70" s="69">
        <v>8</v>
      </c>
      <c r="H70" s="107"/>
      <c r="I70" s="652"/>
      <c r="J70" s="603"/>
      <c r="K70" s="592"/>
      <c r="L70" s="457"/>
      <c r="M70" s="662"/>
      <c r="N70" s="662"/>
    </row>
    <row r="71" spans="2:14" ht="35.25" customHeight="1">
      <c r="B71" s="460" t="str">
        <f>+LEFT(C71,4)</f>
        <v>14.3</v>
      </c>
      <c r="C71" s="790" t="s">
        <v>394</v>
      </c>
      <c r="D71" s="582" t="s">
        <v>389</v>
      </c>
      <c r="E71" s="640" t="s">
        <v>789</v>
      </c>
      <c r="F71" s="585">
        <v>3</v>
      </c>
      <c r="G71" s="70">
        <v>1</v>
      </c>
      <c r="H71" s="100" t="s">
        <v>395</v>
      </c>
      <c r="I71" s="650" t="s">
        <v>791</v>
      </c>
      <c r="J71" s="601">
        <v>3</v>
      </c>
      <c r="K71" s="572" t="str">
        <f>+IF(OR(ISBLANK(F71),ISBLANK(J71)),"",IF(OR(AND(F71=1,J71=1),AND(F71=1,J71=2),AND(F71=1,J71=3)),"Deficiencia de control mayor (diseño y ejecución)",IF(OR(AND(F71=2,J71=2),AND(F71=3,J71=1),AND(F71=3,J71=2),AND(F71=2,J71=1)),"Deficiencia de control (diseño o ejecución)",IF(AND(F71=2,J71=3),"Oportunidad de mejora","Mantenimiento del control"))))</f>
        <v>Mantenimiento del control</v>
      </c>
      <c r="L71" s="457">
        <f>+IF(K71="",231,IF(K71="Deficiencia de control mayor (diseño y ejecución)",240,IF(K71="Deficiencia de control (diseño o ejecución)",260,IF(K71="Oportunidad de mejora",280,300))))</f>
        <v>300</v>
      </c>
      <c r="M71" s="662">
        <v>5.0122999999999998</v>
      </c>
      <c r="N71" s="662">
        <f>+L71+M71</f>
        <v>305.01229999999998</v>
      </c>
    </row>
    <row r="72" spans="2:14" ht="33">
      <c r="B72" s="461"/>
      <c r="C72" s="791"/>
      <c r="D72" s="583"/>
      <c r="E72" s="647"/>
      <c r="F72" s="586"/>
      <c r="G72" s="68">
        <v>2</v>
      </c>
      <c r="H72" s="96" t="s">
        <v>790</v>
      </c>
      <c r="I72" s="651"/>
      <c r="J72" s="602"/>
      <c r="K72" s="573"/>
      <c r="L72" s="457"/>
      <c r="M72" s="662"/>
      <c r="N72" s="662"/>
    </row>
    <row r="73" spans="2:14" ht="48.75" customHeight="1">
      <c r="B73" s="461"/>
      <c r="C73" s="791"/>
      <c r="D73" s="583"/>
      <c r="E73" s="647"/>
      <c r="F73" s="586"/>
      <c r="G73" s="68">
        <v>3</v>
      </c>
      <c r="H73" s="96" t="s">
        <v>396</v>
      </c>
      <c r="I73" s="651"/>
      <c r="J73" s="602"/>
      <c r="K73" s="573"/>
      <c r="L73" s="457"/>
      <c r="M73" s="662"/>
      <c r="N73" s="662"/>
    </row>
    <row r="74" spans="2:14" ht="16.5">
      <c r="B74" s="461"/>
      <c r="C74" s="791"/>
      <c r="D74" s="583"/>
      <c r="E74" s="647"/>
      <c r="F74" s="586"/>
      <c r="G74" s="68">
        <v>4</v>
      </c>
      <c r="H74" s="96"/>
      <c r="I74" s="651"/>
      <c r="J74" s="602"/>
      <c r="K74" s="573"/>
      <c r="L74" s="457"/>
      <c r="M74" s="662"/>
      <c r="N74" s="662"/>
    </row>
    <row r="75" spans="2:14" ht="16.5">
      <c r="B75" s="461"/>
      <c r="C75" s="791"/>
      <c r="D75" s="583"/>
      <c r="E75" s="647"/>
      <c r="F75" s="586"/>
      <c r="G75" s="68">
        <v>5</v>
      </c>
      <c r="H75" s="96"/>
      <c r="I75" s="651"/>
      <c r="J75" s="602"/>
      <c r="K75" s="573"/>
      <c r="L75" s="457"/>
      <c r="M75" s="662"/>
      <c r="N75" s="662"/>
    </row>
    <row r="76" spans="2:14" ht="16.5">
      <c r="B76" s="461"/>
      <c r="C76" s="791"/>
      <c r="D76" s="583"/>
      <c r="E76" s="647"/>
      <c r="F76" s="586"/>
      <c r="G76" s="68">
        <v>6</v>
      </c>
      <c r="H76" s="96"/>
      <c r="I76" s="651"/>
      <c r="J76" s="602"/>
      <c r="K76" s="573"/>
      <c r="L76" s="457"/>
      <c r="M76" s="662"/>
      <c r="N76" s="662"/>
    </row>
    <row r="77" spans="2:14" ht="16.5">
      <c r="B77" s="461"/>
      <c r="C77" s="791"/>
      <c r="D77" s="583"/>
      <c r="E77" s="647"/>
      <c r="F77" s="586"/>
      <c r="G77" s="68">
        <v>7</v>
      </c>
      <c r="H77" s="96"/>
      <c r="I77" s="651"/>
      <c r="J77" s="602"/>
      <c r="K77" s="573"/>
      <c r="L77" s="457"/>
      <c r="M77" s="662"/>
      <c r="N77" s="662"/>
    </row>
    <row r="78" spans="2:14" ht="17.25" thickBot="1">
      <c r="B78" s="462"/>
      <c r="C78" s="792"/>
      <c r="D78" s="584"/>
      <c r="E78" s="648"/>
      <c r="F78" s="587"/>
      <c r="G78" s="69">
        <v>8</v>
      </c>
      <c r="H78" s="97"/>
      <c r="I78" s="652"/>
      <c r="J78" s="603"/>
      <c r="K78" s="592"/>
      <c r="L78" s="457"/>
      <c r="M78" s="662"/>
      <c r="N78" s="662"/>
    </row>
    <row r="79" spans="2:14" ht="16.5">
      <c r="B79" s="460" t="str">
        <f>+LEFT(C79,4)</f>
        <v>14.4</v>
      </c>
      <c r="C79" s="793" t="s">
        <v>397</v>
      </c>
      <c r="D79" s="582" t="s">
        <v>389</v>
      </c>
      <c r="E79" s="640" t="s">
        <v>822</v>
      </c>
      <c r="F79" s="585">
        <v>3</v>
      </c>
      <c r="G79" s="70">
        <v>1</v>
      </c>
      <c r="H79" s="108" t="s">
        <v>398</v>
      </c>
      <c r="I79" s="650" t="s">
        <v>853</v>
      </c>
      <c r="J79" s="601">
        <v>3</v>
      </c>
      <c r="K79" s="572" t="str">
        <f>+IF(OR(ISBLANK(F79),ISBLANK(J79)),"",IF(OR(AND(F79=1,J79=1),AND(F79=1,J79=2),AND(F79=1,J79=3)),"Deficiencia de control mayor (diseño y ejecución)",IF(OR(AND(F79=2,J79=2),AND(F79=3,J79=1),AND(F79=3,J79=2),AND(F79=2,J79=1)),"Deficiencia de control (diseño o ejecución)",IF(AND(F79=2,J79=3),"Oportunidad de mejora","Mantenimiento del control"))))</f>
        <v>Mantenimiento del control</v>
      </c>
      <c r="L79" s="457">
        <f>+IF(K79="",231,IF(K79="Deficiencia de control mayor (diseño y ejecución)",240,IF(K79="Deficiencia de control (diseño o ejecución)",260,IF(K79="Oportunidad de mejora",280,300))))</f>
        <v>300</v>
      </c>
      <c r="M79" s="662">
        <v>5.1235999999999997</v>
      </c>
      <c r="N79" s="662">
        <f>+L79+M79</f>
        <v>305.12360000000001</v>
      </c>
    </row>
    <row r="80" spans="2:14" ht="16.5">
      <c r="B80" s="461"/>
      <c r="C80" s="794"/>
      <c r="D80" s="583"/>
      <c r="E80" s="586"/>
      <c r="F80" s="586"/>
      <c r="G80" s="68">
        <v>2</v>
      </c>
      <c r="H80" s="109" t="s">
        <v>399</v>
      </c>
      <c r="I80" s="651"/>
      <c r="J80" s="602"/>
      <c r="K80" s="573"/>
      <c r="L80" s="457"/>
      <c r="M80" s="662"/>
      <c r="N80" s="662"/>
    </row>
    <row r="81" spans="2:14" ht="16.5">
      <c r="B81" s="461"/>
      <c r="C81" s="794"/>
      <c r="D81" s="583"/>
      <c r="E81" s="586"/>
      <c r="F81" s="586"/>
      <c r="G81" s="68">
        <v>3</v>
      </c>
      <c r="H81" s="109" t="s">
        <v>400</v>
      </c>
      <c r="I81" s="651"/>
      <c r="J81" s="602"/>
      <c r="K81" s="573"/>
      <c r="L81" s="457"/>
      <c r="M81" s="662"/>
      <c r="N81" s="662"/>
    </row>
    <row r="82" spans="2:14" ht="33">
      <c r="B82" s="461"/>
      <c r="C82" s="794"/>
      <c r="D82" s="583"/>
      <c r="E82" s="586"/>
      <c r="F82" s="586"/>
      <c r="G82" s="68">
        <v>4</v>
      </c>
      <c r="H82" s="109" t="s">
        <v>401</v>
      </c>
      <c r="I82" s="651"/>
      <c r="J82" s="602"/>
      <c r="K82" s="573"/>
      <c r="L82" s="457"/>
      <c r="M82" s="662"/>
      <c r="N82" s="662"/>
    </row>
    <row r="83" spans="2:14" ht="29.25" customHeight="1">
      <c r="B83" s="461"/>
      <c r="C83" s="794"/>
      <c r="D83" s="583"/>
      <c r="E83" s="586"/>
      <c r="F83" s="586"/>
      <c r="G83" s="68">
        <v>5</v>
      </c>
      <c r="H83" s="109" t="s">
        <v>402</v>
      </c>
      <c r="I83" s="651"/>
      <c r="J83" s="602"/>
      <c r="K83" s="573"/>
      <c r="L83" s="457"/>
      <c r="M83" s="662"/>
      <c r="N83" s="662"/>
    </row>
    <row r="84" spans="2:14" ht="30.75" customHeight="1">
      <c r="B84" s="461"/>
      <c r="C84" s="794"/>
      <c r="D84" s="583"/>
      <c r="E84" s="586"/>
      <c r="F84" s="586"/>
      <c r="G84" s="68">
        <v>6</v>
      </c>
      <c r="H84" s="109" t="s">
        <v>792</v>
      </c>
      <c r="I84" s="651"/>
      <c r="J84" s="602"/>
      <c r="K84" s="573"/>
      <c r="L84" s="457"/>
      <c r="M84" s="662"/>
      <c r="N84" s="662"/>
    </row>
    <row r="85" spans="2:14" ht="31.5" customHeight="1">
      <c r="B85" s="461"/>
      <c r="C85" s="794"/>
      <c r="D85" s="583"/>
      <c r="E85" s="586"/>
      <c r="F85" s="586"/>
      <c r="G85" s="68">
        <v>7</v>
      </c>
      <c r="I85" s="651"/>
      <c r="J85" s="602"/>
      <c r="K85" s="573"/>
      <c r="L85" s="457"/>
      <c r="M85" s="662"/>
      <c r="N85" s="662"/>
    </row>
    <row r="86" spans="2:14" ht="17.25" thickBot="1">
      <c r="B86" s="462"/>
      <c r="C86" s="795"/>
      <c r="D86" s="584"/>
      <c r="E86" s="587"/>
      <c r="F86" s="587"/>
      <c r="G86" s="69">
        <v>8</v>
      </c>
      <c r="H86" s="109"/>
      <c r="I86" s="652"/>
      <c r="J86" s="603"/>
      <c r="K86" s="592"/>
      <c r="L86" s="457"/>
      <c r="M86" s="662"/>
      <c r="N86" s="662"/>
    </row>
    <row r="87" spans="2:14" ht="12.75" customHeight="1">
      <c r="B87" s="761"/>
      <c r="C87" s="761" t="s">
        <v>403</v>
      </c>
      <c r="D87" s="778" t="s">
        <v>8</v>
      </c>
      <c r="E87" s="800" t="s">
        <v>147</v>
      </c>
      <c r="F87" s="780" t="s">
        <v>252</v>
      </c>
      <c r="G87" s="785" t="s">
        <v>115</v>
      </c>
      <c r="H87" s="785"/>
      <c r="I87" s="785"/>
      <c r="J87" s="780" t="s">
        <v>253</v>
      </c>
      <c r="K87" s="762" t="s">
        <v>150</v>
      </c>
      <c r="L87" s="660"/>
      <c r="M87" s="660"/>
      <c r="N87" s="660"/>
    </row>
    <row r="88" spans="2:14" ht="15" customHeight="1">
      <c r="B88" s="760"/>
      <c r="C88" s="760"/>
      <c r="D88" s="778"/>
      <c r="E88" s="801"/>
      <c r="F88" s="780"/>
      <c r="G88" s="785"/>
      <c r="H88" s="785"/>
      <c r="I88" s="785"/>
      <c r="J88" s="780"/>
      <c r="K88" s="762"/>
      <c r="L88" s="660"/>
      <c r="M88" s="660"/>
      <c r="N88" s="660"/>
    </row>
    <row r="89" spans="2:14" ht="27.75" customHeight="1">
      <c r="B89" s="760"/>
      <c r="C89" s="760"/>
      <c r="D89" s="778"/>
      <c r="E89" s="801"/>
      <c r="F89" s="780"/>
      <c r="G89" s="785" t="s">
        <v>13</v>
      </c>
      <c r="H89" s="779" t="s">
        <v>151</v>
      </c>
      <c r="I89" s="779" t="s">
        <v>118</v>
      </c>
      <c r="J89" s="780"/>
      <c r="K89" s="762"/>
      <c r="L89" s="660"/>
      <c r="M89" s="660"/>
      <c r="N89" s="660"/>
    </row>
    <row r="90" spans="2:14" ht="72" customHeight="1" thickBot="1">
      <c r="B90" s="760"/>
      <c r="C90" s="760"/>
      <c r="D90" s="778"/>
      <c r="E90" s="802"/>
      <c r="F90" s="780"/>
      <c r="G90" s="785"/>
      <c r="H90" s="779"/>
      <c r="I90" s="785"/>
      <c r="J90" s="780"/>
      <c r="K90" s="763"/>
      <c r="L90" s="660"/>
      <c r="M90" s="660"/>
      <c r="N90" s="660"/>
    </row>
    <row r="91" spans="2:14" ht="22.5" customHeight="1">
      <c r="B91" s="460" t="str">
        <f>+LEFT(C91,4)</f>
        <v>15.1</v>
      </c>
      <c r="C91" s="782" t="s">
        <v>404</v>
      </c>
      <c r="D91" s="582" t="s">
        <v>405</v>
      </c>
      <c r="E91" s="640" t="s">
        <v>793</v>
      </c>
      <c r="F91" s="585">
        <v>3</v>
      </c>
      <c r="G91" s="70">
        <v>1</v>
      </c>
      <c r="H91" s="108" t="s">
        <v>794</v>
      </c>
      <c r="I91" s="640" t="s">
        <v>854</v>
      </c>
      <c r="J91" s="601">
        <v>3</v>
      </c>
      <c r="K91" s="572" t="str">
        <f>+IF(OR(ISBLANK(F91),ISBLANK(J91)),"",IF(OR(AND(F91=1,J91=1),AND(F91=1,J91=2),AND(F91=1,J91=3)),"Deficiencia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457">
        <f>+IF(K91="",231,IF(K91="Deficiencia de control mayor (diseño y ejecución)",240,IF(K91="Deficiencia de control (diseño o ejecución)",260,IF(K91="Oportunidad de mejora",280,300))))</f>
        <v>300</v>
      </c>
      <c r="M91" s="662">
        <v>5.2369000000000003</v>
      </c>
      <c r="N91" s="662">
        <f>+L91+M91</f>
        <v>305.23689999999999</v>
      </c>
    </row>
    <row r="92" spans="2:14" ht="16.5">
      <c r="B92" s="461"/>
      <c r="C92" s="782"/>
      <c r="D92" s="583"/>
      <c r="E92" s="586"/>
      <c r="F92" s="586"/>
      <c r="G92" s="68">
        <v>2</v>
      </c>
      <c r="H92" s="109" t="s">
        <v>406</v>
      </c>
      <c r="I92" s="586"/>
      <c r="J92" s="602"/>
      <c r="K92" s="573"/>
      <c r="L92" s="457"/>
      <c r="M92" s="662"/>
      <c r="N92" s="662"/>
    </row>
    <row r="93" spans="2:14" ht="33">
      <c r="B93" s="461"/>
      <c r="C93" s="782"/>
      <c r="D93" s="583"/>
      <c r="E93" s="586"/>
      <c r="F93" s="586"/>
      <c r="G93" s="68">
        <v>3</v>
      </c>
      <c r="H93" s="109" t="s">
        <v>795</v>
      </c>
      <c r="I93" s="586"/>
      <c r="J93" s="602"/>
      <c r="K93" s="573"/>
      <c r="L93" s="457"/>
      <c r="M93" s="662"/>
      <c r="N93" s="662"/>
    </row>
    <row r="94" spans="2:14" ht="33">
      <c r="B94" s="461"/>
      <c r="C94" s="782"/>
      <c r="D94" s="583"/>
      <c r="E94" s="586"/>
      <c r="F94" s="586"/>
      <c r="G94" s="68">
        <v>4</v>
      </c>
      <c r="H94" s="109" t="s">
        <v>407</v>
      </c>
      <c r="I94" s="586"/>
      <c r="J94" s="602"/>
      <c r="K94" s="573"/>
      <c r="L94" s="457"/>
      <c r="M94" s="662"/>
      <c r="N94" s="662"/>
    </row>
    <row r="95" spans="2:14" ht="49.5">
      <c r="B95" s="461"/>
      <c r="C95" s="782"/>
      <c r="D95" s="583"/>
      <c r="E95" s="586"/>
      <c r="F95" s="586"/>
      <c r="G95" s="68">
        <v>5</v>
      </c>
      <c r="H95" s="109" t="s">
        <v>408</v>
      </c>
      <c r="I95" s="586"/>
      <c r="J95" s="602"/>
      <c r="K95" s="573"/>
      <c r="L95" s="457"/>
      <c r="M95" s="662"/>
      <c r="N95" s="662"/>
    </row>
    <row r="96" spans="2:14" ht="16.5">
      <c r="B96" s="461"/>
      <c r="C96" s="782"/>
      <c r="D96" s="583"/>
      <c r="E96" s="586"/>
      <c r="F96" s="586"/>
      <c r="G96" s="68">
        <v>6</v>
      </c>
      <c r="H96" s="109" t="s">
        <v>409</v>
      </c>
      <c r="I96" s="586"/>
      <c r="J96" s="602"/>
      <c r="K96" s="573"/>
      <c r="L96" s="457"/>
      <c r="M96" s="662"/>
      <c r="N96" s="662"/>
    </row>
    <row r="97" spans="2:14" ht="22.5" customHeight="1">
      <c r="B97" s="461"/>
      <c r="C97" s="782"/>
      <c r="D97" s="583"/>
      <c r="E97" s="586"/>
      <c r="F97" s="586"/>
      <c r="G97" s="68">
        <v>7</v>
      </c>
      <c r="H97" s="109"/>
      <c r="I97" s="586"/>
      <c r="J97" s="602"/>
      <c r="K97" s="573"/>
      <c r="L97" s="457"/>
      <c r="M97" s="662"/>
      <c r="N97" s="662"/>
    </row>
    <row r="98" spans="2:14" ht="22.5" customHeight="1" thickBot="1">
      <c r="B98" s="462"/>
      <c r="C98" s="784"/>
      <c r="D98" s="584"/>
      <c r="E98" s="587"/>
      <c r="F98" s="587"/>
      <c r="G98" s="69">
        <v>8</v>
      </c>
      <c r="H98" s="107"/>
      <c r="I98" s="587"/>
      <c r="J98" s="603"/>
      <c r="K98" s="592"/>
      <c r="L98" s="457"/>
      <c r="M98" s="662"/>
      <c r="N98" s="662"/>
    </row>
    <row r="99" spans="2:14" ht="26.25" customHeight="1">
      <c r="B99" s="460" t="str">
        <f>+LEFT(C99,4)</f>
        <v>15.2</v>
      </c>
      <c r="C99" s="775" t="s">
        <v>410</v>
      </c>
      <c r="D99" s="582" t="s">
        <v>411</v>
      </c>
      <c r="E99" s="640" t="s">
        <v>796</v>
      </c>
      <c r="F99" s="585">
        <v>3</v>
      </c>
      <c r="G99" s="70">
        <v>1</v>
      </c>
      <c r="H99" s="100" t="s">
        <v>412</v>
      </c>
      <c r="I99" s="640" t="s">
        <v>855</v>
      </c>
      <c r="J99" s="601">
        <v>3</v>
      </c>
      <c r="K99" s="572" t="str">
        <f>+IF(OR(ISBLANK(F99),ISBLANK(J99)),"",IF(OR(AND(F99=1,J99=1),AND(F99=1,J99=2),AND(F99=1,J99=3)),"Deficiencia de control mayor (diseño y ejecución)",IF(OR(AND(F99=2,J99=2),AND(F99=3,J99=1),AND(F99=3,J99=2),AND(F99=2,J99=1)),"Deficiencia de control (diseño o ejecución)",IF(AND(F99=2,J99=3),"Oportunidad de mejora","Mantenimiento del control"))))</f>
        <v>Mantenimiento del control</v>
      </c>
      <c r="L99" s="457">
        <f>+IF(K99="",231,IF(K99="Deficiencia de control mayor (diseño y ejecución)",240,IF(K99="Deficiencia de control (diseño o ejecución)",260,IF(K99="Oportunidad de mejora",280,300))))</f>
        <v>300</v>
      </c>
      <c r="M99" s="662">
        <v>5.3654000000000002</v>
      </c>
      <c r="N99" s="662">
        <f>+L99+M99</f>
        <v>305.36540000000002</v>
      </c>
    </row>
    <row r="100" spans="2:14" ht="26.25" customHeight="1">
      <c r="B100" s="461"/>
      <c r="C100" s="775"/>
      <c r="D100" s="583"/>
      <c r="E100" s="586"/>
      <c r="F100" s="586"/>
      <c r="G100" s="68">
        <v>2</v>
      </c>
      <c r="H100" s="96" t="s">
        <v>413</v>
      </c>
      <c r="I100" s="586"/>
      <c r="J100" s="602"/>
      <c r="K100" s="573"/>
      <c r="L100" s="457"/>
      <c r="M100" s="662"/>
      <c r="N100" s="662"/>
    </row>
    <row r="101" spans="2:14" ht="26.25" customHeight="1">
      <c r="B101" s="461"/>
      <c r="C101" s="775"/>
      <c r="D101" s="583"/>
      <c r="E101" s="586"/>
      <c r="F101" s="586"/>
      <c r="G101" s="68">
        <v>3</v>
      </c>
      <c r="H101" s="96" t="s">
        <v>414</v>
      </c>
      <c r="I101" s="586"/>
      <c r="J101" s="602"/>
      <c r="K101" s="573"/>
      <c r="L101" s="457"/>
      <c r="M101" s="662"/>
      <c r="N101" s="662"/>
    </row>
    <row r="102" spans="2:14" ht="26.25" customHeight="1">
      <c r="B102" s="461"/>
      <c r="C102" s="775"/>
      <c r="D102" s="583"/>
      <c r="E102" s="586"/>
      <c r="F102" s="586"/>
      <c r="G102" s="68">
        <v>4</v>
      </c>
      <c r="H102" s="96" t="s">
        <v>415</v>
      </c>
      <c r="I102" s="586"/>
      <c r="J102" s="602"/>
      <c r="K102" s="573"/>
      <c r="L102" s="457"/>
      <c r="M102" s="662"/>
      <c r="N102" s="662"/>
    </row>
    <row r="103" spans="2:14" ht="33">
      <c r="B103" s="461"/>
      <c r="C103" s="775"/>
      <c r="D103" s="583"/>
      <c r="E103" s="586"/>
      <c r="F103" s="586"/>
      <c r="G103" s="68">
        <v>5</v>
      </c>
      <c r="H103" s="96" t="s">
        <v>416</v>
      </c>
      <c r="I103" s="586"/>
      <c r="J103" s="602"/>
      <c r="K103" s="573"/>
      <c r="L103" s="457"/>
      <c r="M103" s="662"/>
      <c r="N103" s="662"/>
    </row>
    <row r="104" spans="2:14" ht="26.25" customHeight="1">
      <c r="B104" s="461"/>
      <c r="C104" s="775"/>
      <c r="D104" s="583"/>
      <c r="E104" s="586"/>
      <c r="F104" s="586"/>
      <c r="G104" s="68">
        <v>6</v>
      </c>
      <c r="H104" s="106"/>
      <c r="I104" s="586"/>
      <c r="J104" s="602"/>
      <c r="K104" s="573"/>
      <c r="L104" s="457"/>
      <c r="M104" s="662"/>
      <c r="N104" s="662"/>
    </row>
    <row r="105" spans="2:14" ht="26.25" customHeight="1">
      <c r="B105" s="461"/>
      <c r="C105" s="775"/>
      <c r="D105" s="583"/>
      <c r="E105" s="586"/>
      <c r="F105" s="586"/>
      <c r="G105" s="68">
        <v>7</v>
      </c>
      <c r="H105" s="106"/>
      <c r="I105" s="586"/>
      <c r="J105" s="602"/>
      <c r="K105" s="573"/>
      <c r="L105" s="457"/>
      <c r="M105" s="662"/>
      <c r="N105" s="662"/>
    </row>
    <row r="106" spans="2:14" ht="26.25" customHeight="1" thickBot="1">
      <c r="B106" s="462"/>
      <c r="C106" s="775"/>
      <c r="D106" s="584"/>
      <c r="E106" s="587"/>
      <c r="F106" s="587"/>
      <c r="G106" s="69">
        <v>8</v>
      </c>
      <c r="H106" s="107"/>
      <c r="I106" s="587"/>
      <c r="J106" s="603"/>
      <c r="K106" s="592"/>
      <c r="L106" s="457"/>
      <c r="M106" s="662"/>
      <c r="N106" s="662"/>
    </row>
    <row r="107" spans="2:14" ht="16.5">
      <c r="B107" s="460" t="str">
        <f>+LEFT(C107,4)</f>
        <v>15.3</v>
      </c>
      <c r="C107" s="783" t="s">
        <v>417</v>
      </c>
      <c r="D107" s="582" t="s">
        <v>418</v>
      </c>
      <c r="E107" s="640" t="s">
        <v>797</v>
      </c>
      <c r="F107" s="585">
        <v>3</v>
      </c>
      <c r="G107" s="70">
        <v>1</v>
      </c>
      <c r="H107" s="100" t="s">
        <v>419</v>
      </c>
      <c r="I107" s="640" t="s">
        <v>798</v>
      </c>
      <c r="J107" s="601">
        <v>3</v>
      </c>
      <c r="K107" s="572" t="str">
        <f>+IF(OR(ISBLANK(F107),ISBLANK(J107)),"",IF(OR(AND(F107=1,J107=1),AND(F107=1,J107=2),AND(F107=1,J107=3)),"Deficiencia de control mayor (diseño y ejecución)",IF(OR(AND(F107=2,J107=2),AND(F107=3,J107=1),AND(F107=3,J107=2),AND(F107=2,J107=1)),"Deficiencia de control (diseño o ejecución)",IF(AND(F107=2,J107=3),"Oportunidad de mejora","Mantenimiento del control"))))</f>
        <v>Mantenimiento del control</v>
      </c>
      <c r="L107" s="457">
        <f>+IF(K107="",231,IF(K107="Deficiencia de control mayor (diseño y ejecución)",240,IF(K107="Deficiencia de control (diseño o ejecución)",260,IF(K107="Oportunidad de mejora",280,300))))</f>
        <v>300</v>
      </c>
      <c r="M107" s="662">
        <v>5.4562999999999997</v>
      </c>
      <c r="N107" s="662">
        <f>+L107+M107</f>
        <v>305.4563</v>
      </c>
    </row>
    <row r="108" spans="2:14" ht="16.5">
      <c r="B108" s="461"/>
      <c r="C108" s="782"/>
      <c r="D108" s="583"/>
      <c r="E108" s="647"/>
      <c r="F108" s="586"/>
      <c r="G108" s="68">
        <v>2</v>
      </c>
      <c r="H108" s="96" t="s">
        <v>399</v>
      </c>
      <c r="I108" s="647"/>
      <c r="J108" s="602"/>
      <c r="K108" s="573"/>
      <c r="L108" s="457"/>
      <c r="M108" s="662"/>
      <c r="N108" s="662"/>
    </row>
    <row r="109" spans="2:14" ht="16.5">
      <c r="B109" s="461"/>
      <c r="C109" s="782"/>
      <c r="D109" s="583"/>
      <c r="E109" s="647"/>
      <c r="F109" s="586"/>
      <c r="G109" s="68">
        <v>3</v>
      </c>
      <c r="H109" s="96" t="s">
        <v>412</v>
      </c>
      <c r="I109" s="647"/>
      <c r="J109" s="602"/>
      <c r="K109" s="573"/>
      <c r="L109" s="457"/>
      <c r="M109" s="662"/>
      <c r="N109" s="662"/>
    </row>
    <row r="110" spans="2:14" ht="16.5">
      <c r="B110" s="461"/>
      <c r="C110" s="782"/>
      <c r="D110" s="583"/>
      <c r="E110" s="647"/>
      <c r="F110" s="586"/>
      <c r="G110" s="68">
        <v>4</v>
      </c>
      <c r="H110" s="96" t="s">
        <v>413</v>
      </c>
      <c r="I110" s="647"/>
      <c r="J110" s="602"/>
      <c r="K110" s="573"/>
      <c r="L110" s="457"/>
      <c r="M110" s="662"/>
      <c r="N110" s="662"/>
    </row>
    <row r="111" spans="2:14" ht="16.5">
      <c r="B111" s="461"/>
      <c r="C111" s="782"/>
      <c r="D111" s="583"/>
      <c r="E111" s="647"/>
      <c r="F111" s="586"/>
      <c r="G111" s="68">
        <v>5</v>
      </c>
      <c r="H111" s="96"/>
      <c r="I111" s="647"/>
      <c r="J111" s="602"/>
      <c r="K111" s="573"/>
      <c r="L111" s="457"/>
      <c r="M111" s="662"/>
      <c r="N111" s="662"/>
    </row>
    <row r="112" spans="2:14" ht="16.5">
      <c r="B112" s="461"/>
      <c r="C112" s="782"/>
      <c r="D112" s="583"/>
      <c r="E112" s="647"/>
      <c r="F112" s="586"/>
      <c r="G112" s="68">
        <v>6</v>
      </c>
      <c r="H112" s="96"/>
      <c r="I112" s="647"/>
      <c r="J112" s="602"/>
      <c r="K112" s="573"/>
      <c r="L112" s="457"/>
      <c r="M112" s="662"/>
      <c r="N112" s="662"/>
    </row>
    <row r="113" spans="2:14" ht="16.5">
      <c r="B113" s="461"/>
      <c r="C113" s="782"/>
      <c r="D113" s="583"/>
      <c r="E113" s="647"/>
      <c r="F113" s="586"/>
      <c r="G113" s="68">
        <v>7</v>
      </c>
      <c r="H113" s="96"/>
      <c r="I113" s="647"/>
      <c r="J113" s="602"/>
      <c r="K113" s="573"/>
      <c r="L113" s="457"/>
      <c r="M113" s="662"/>
      <c r="N113" s="662"/>
    </row>
    <row r="114" spans="2:14" ht="17.25" thickBot="1">
      <c r="B114" s="462"/>
      <c r="C114" s="784"/>
      <c r="D114" s="584"/>
      <c r="E114" s="648"/>
      <c r="F114" s="587"/>
      <c r="G114" s="69">
        <v>8</v>
      </c>
      <c r="H114" s="107"/>
      <c r="I114" s="648"/>
      <c r="J114" s="603"/>
      <c r="K114" s="592"/>
      <c r="L114" s="457"/>
      <c r="M114" s="662"/>
      <c r="N114" s="662"/>
    </row>
    <row r="115" spans="2:14" ht="33" customHeight="1">
      <c r="B115" s="460" t="str">
        <f>+LEFT(C115,4)</f>
        <v>15.4</v>
      </c>
      <c r="C115" s="781" t="s">
        <v>420</v>
      </c>
      <c r="D115" s="582" t="s">
        <v>421</v>
      </c>
      <c r="E115" s="640" t="s">
        <v>422</v>
      </c>
      <c r="F115" s="585">
        <v>3</v>
      </c>
      <c r="G115" s="70">
        <v>1</v>
      </c>
      <c r="H115" s="96" t="s">
        <v>423</v>
      </c>
      <c r="I115" s="640" t="s">
        <v>910</v>
      </c>
      <c r="J115" s="601">
        <v>3</v>
      </c>
      <c r="K115" s="572" t="str">
        <f>+IF(OR(ISBLANK(F115),ISBLANK(J115)),"",IF(OR(AND(F115=1,J115=1),AND(F115=1,J115=2),AND(F115=1,J115=3)),"Deficiencia de control mayor (diseño y ejecución)",IF(OR(AND(F115=2,J115=2),AND(F115=3,J115=1),AND(F115=3,J115=2),AND(F115=2,J115=1)),"Deficiencia de control (diseño o ejecución)",IF(AND(F115=2,J115=3),"Oportunidad de mejora","Mantenimiento del control"))))</f>
        <v>Mantenimiento del control</v>
      </c>
      <c r="L115" s="457">
        <f>+IF(K115="",231,IF(K115="Deficiencia de control mayor (diseño y ejecución)",240,IF(K115="Deficiencia de control (diseño o ejecución)",260,IF(K115="Oportunidad de mejora",280,300))))</f>
        <v>300</v>
      </c>
      <c r="M115" s="662">
        <v>5.5632000000000001</v>
      </c>
      <c r="N115" s="662">
        <f>+L115+M115</f>
        <v>305.56319999999999</v>
      </c>
    </row>
    <row r="116" spans="2:14" ht="49.5">
      <c r="B116" s="461"/>
      <c r="C116" s="782"/>
      <c r="D116" s="583"/>
      <c r="E116" s="586"/>
      <c r="F116" s="586"/>
      <c r="G116" s="68">
        <v>2</v>
      </c>
      <c r="H116" s="96" t="s">
        <v>424</v>
      </c>
      <c r="I116" s="647"/>
      <c r="J116" s="602"/>
      <c r="K116" s="573"/>
      <c r="L116" s="457"/>
      <c r="M116" s="662"/>
      <c r="N116" s="662"/>
    </row>
    <row r="117" spans="2:14" ht="16.5">
      <c r="B117" s="461"/>
      <c r="C117" s="782"/>
      <c r="D117" s="583"/>
      <c r="E117" s="586"/>
      <c r="F117" s="586"/>
      <c r="G117" s="68">
        <v>3</v>
      </c>
      <c r="H117" s="96"/>
      <c r="I117" s="647"/>
      <c r="J117" s="602"/>
      <c r="K117" s="573"/>
      <c r="L117" s="457"/>
      <c r="M117" s="662"/>
      <c r="N117" s="662"/>
    </row>
    <row r="118" spans="2:14" ht="16.5">
      <c r="B118" s="461"/>
      <c r="C118" s="782"/>
      <c r="D118" s="583"/>
      <c r="E118" s="586"/>
      <c r="F118" s="586"/>
      <c r="G118" s="68">
        <v>4</v>
      </c>
      <c r="H118" s="106"/>
      <c r="I118" s="647"/>
      <c r="J118" s="602"/>
      <c r="K118" s="573"/>
      <c r="L118" s="457"/>
      <c r="M118" s="662"/>
      <c r="N118" s="662"/>
    </row>
    <row r="119" spans="2:14" ht="16.5">
      <c r="B119" s="461"/>
      <c r="C119" s="782"/>
      <c r="D119" s="583"/>
      <c r="E119" s="586"/>
      <c r="F119" s="586"/>
      <c r="G119" s="68">
        <v>5</v>
      </c>
      <c r="H119" s="106"/>
      <c r="I119" s="647"/>
      <c r="J119" s="602"/>
      <c r="K119" s="573"/>
      <c r="L119" s="457"/>
      <c r="M119" s="662"/>
      <c r="N119" s="662"/>
    </row>
    <row r="120" spans="2:14" ht="16.5">
      <c r="B120" s="461"/>
      <c r="C120" s="782"/>
      <c r="D120" s="583"/>
      <c r="E120" s="586"/>
      <c r="F120" s="586"/>
      <c r="G120" s="68">
        <v>6</v>
      </c>
      <c r="H120" s="106"/>
      <c r="I120" s="647"/>
      <c r="J120" s="602"/>
      <c r="K120" s="573"/>
      <c r="L120" s="457"/>
      <c r="M120" s="662"/>
      <c r="N120" s="662"/>
    </row>
    <row r="121" spans="2:14" ht="16.5">
      <c r="B121" s="461"/>
      <c r="C121" s="782"/>
      <c r="D121" s="583"/>
      <c r="E121" s="586"/>
      <c r="F121" s="586"/>
      <c r="G121" s="68">
        <v>7</v>
      </c>
      <c r="H121" s="106"/>
      <c r="I121" s="647"/>
      <c r="J121" s="602"/>
      <c r="K121" s="573"/>
      <c r="L121" s="457"/>
      <c r="M121" s="662"/>
      <c r="N121" s="662"/>
    </row>
    <row r="122" spans="2:14" ht="17.25" thickBot="1">
      <c r="B122" s="462"/>
      <c r="C122" s="782"/>
      <c r="D122" s="584"/>
      <c r="E122" s="587"/>
      <c r="F122" s="587"/>
      <c r="G122" s="69">
        <v>8</v>
      </c>
      <c r="H122" s="107"/>
      <c r="I122" s="648"/>
      <c r="J122" s="603"/>
      <c r="K122" s="592"/>
      <c r="L122" s="457"/>
      <c r="M122" s="662"/>
      <c r="N122" s="662"/>
    </row>
    <row r="123" spans="2:14" ht="33">
      <c r="B123" s="460" t="str">
        <f>+LEFT(C123,4)</f>
        <v>15.5</v>
      </c>
      <c r="C123" s="775" t="s">
        <v>425</v>
      </c>
      <c r="D123" s="582" t="s">
        <v>426</v>
      </c>
      <c r="E123" s="735" t="s">
        <v>427</v>
      </c>
      <c r="F123" s="585">
        <v>3</v>
      </c>
      <c r="G123" s="70">
        <v>1</v>
      </c>
      <c r="H123" s="100" t="s">
        <v>428</v>
      </c>
      <c r="I123" s="640" t="s">
        <v>856</v>
      </c>
      <c r="J123" s="601">
        <v>3</v>
      </c>
      <c r="K123" s="572" t="str">
        <f>+IF(OR(ISBLANK(F123),ISBLANK(J123)),"",IF(OR(AND(F123=1,J123=1),AND(F123=1,J123=2),AND(F123=1,J123=3)),"Deficiencia de control mayor (diseño y ejecución)",IF(OR(AND(F123=2,J123=2),AND(F123=3,J123=1),AND(F123=3,J123=2),AND(F123=2,J123=1)),"Deficiencia de control (diseño o ejecución)",IF(AND(F123=2,J123=3),"Oportunidad de mejora","Mantenimiento del control"))))</f>
        <v>Mantenimiento del control</v>
      </c>
      <c r="L123" s="457">
        <f>+IF(K123="",231,IF(K123="Deficiencia de control mayor (diseño y ejecución)",240,IF(K123="Deficiencia de control (diseño o ejecución)",260,IF(K123="Oportunidad de mejora",280,300))))</f>
        <v>300</v>
      </c>
      <c r="M123" s="662">
        <v>5.6321000000000003</v>
      </c>
      <c r="N123" s="662">
        <f>+L123+M123</f>
        <v>305.63209999999998</v>
      </c>
    </row>
    <row r="124" spans="2:14" ht="16.5">
      <c r="B124" s="461"/>
      <c r="C124" s="775"/>
      <c r="D124" s="583"/>
      <c r="E124" s="426"/>
      <c r="F124" s="586"/>
      <c r="G124" s="68">
        <v>2</v>
      </c>
      <c r="H124" s="106"/>
      <c r="I124" s="647"/>
      <c r="J124" s="602"/>
      <c r="K124" s="573"/>
      <c r="L124" s="457"/>
      <c r="M124" s="662"/>
      <c r="N124" s="662"/>
    </row>
    <row r="125" spans="2:14" ht="16.5">
      <c r="B125" s="461"/>
      <c r="C125" s="775"/>
      <c r="D125" s="583"/>
      <c r="E125" s="426"/>
      <c r="F125" s="586"/>
      <c r="G125" s="68">
        <v>3</v>
      </c>
      <c r="H125" s="106"/>
      <c r="I125" s="647"/>
      <c r="J125" s="602"/>
      <c r="K125" s="573"/>
      <c r="L125" s="457"/>
      <c r="M125" s="662"/>
      <c r="N125" s="662"/>
    </row>
    <row r="126" spans="2:14" ht="16.5">
      <c r="B126" s="461"/>
      <c r="C126" s="775"/>
      <c r="D126" s="583"/>
      <c r="E126" s="426"/>
      <c r="F126" s="586"/>
      <c r="G126" s="68">
        <v>4</v>
      </c>
      <c r="H126" s="106"/>
      <c r="I126" s="647"/>
      <c r="J126" s="602"/>
      <c r="K126" s="573"/>
      <c r="L126" s="457"/>
      <c r="M126" s="662"/>
      <c r="N126" s="662"/>
    </row>
    <row r="127" spans="2:14" ht="16.5">
      <c r="B127" s="461"/>
      <c r="C127" s="775"/>
      <c r="D127" s="583"/>
      <c r="E127" s="426"/>
      <c r="F127" s="586"/>
      <c r="G127" s="68">
        <v>5</v>
      </c>
      <c r="H127" s="106"/>
      <c r="I127" s="647"/>
      <c r="J127" s="602"/>
      <c r="K127" s="573"/>
      <c r="L127" s="457"/>
      <c r="M127" s="662"/>
      <c r="N127" s="662"/>
    </row>
    <row r="128" spans="2:14" ht="12.75" customHeight="1">
      <c r="B128" s="461"/>
      <c r="C128" s="775"/>
      <c r="D128" s="583"/>
      <c r="E128" s="426"/>
      <c r="F128" s="586"/>
      <c r="G128" s="68">
        <v>6</v>
      </c>
      <c r="H128" s="106"/>
      <c r="I128" s="647"/>
      <c r="J128" s="602"/>
      <c r="K128" s="573"/>
      <c r="L128" s="457"/>
      <c r="M128" s="662"/>
      <c r="N128" s="662"/>
    </row>
    <row r="129" spans="2:14" ht="12.75" customHeight="1">
      <c r="B129" s="461"/>
      <c r="C129" s="775"/>
      <c r="D129" s="583"/>
      <c r="E129" s="426"/>
      <c r="F129" s="586"/>
      <c r="G129" s="68">
        <v>7</v>
      </c>
      <c r="H129" s="106"/>
      <c r="I129" s="647"/>
      <c r="J129" s="602"/>
      <c r="K129" s="573"/>
      <c r="L129" s="457"/>
      <c r="M129" s="662"/>
      <c r="N129" s="662"/>
    </row>
    <row r="130" spans="2:14" ht="12.75" customHeight="1" thickBot="1">
      <c r="B130" s="462"/>
      <c r="C130" s="775"/>
      <c r="D130" s="584"/>
      <c r="E130" s="427"/>
      <c r="F130" s="587"/>
      <c r="G130" s="69">
        <v>8</v>
      </c>
      <c r="H130" s="107"/>
      <c r="I130" s="648"/>
      <c r="J130" s="603"/>
      <c r="K130" s="592"/>
      <c r="L130" s="457"/>
      <c r="M130" s="662"/>
      <c r="N130" s="662"/>
    </row>
    <row r="131" spans="2:14" ht="30.75" customHeight="1">
      <c r="B131" s="460" t="str">
        <f>+LEFT(C131,4)</f>
        <v>15.6</v>
      </c>
      <c r="C131" s="775" t="s">
        <v>429</v>
      </c>
      <c r="D131" s="787" t="s">
        <v>426</v>
      </c>
      <c r="E131" s="735" t="s">
        <v>427</v>
      </c>
      <c r="F131" s="585">
        <v>3</v>
      </c>
      <c r="G131" s="70">
        <v>1</v>
      </c>
      <c r="H131" s="100" t="s">
        <v>430</v>
      </c>
      <c r="I131" s="640" t="s">
        <v>857</v>
      </c>
      <c r="J131" s="601">
        <v>3</v>
      </c>
      <c r="K131" s="572" t="str">
        <f>+IF(OR(ISBLANK(F131),ISBLANK(J131)),"",IF(OR(AND(F131=1,J131=1),AND(F131=1,J131=2),AND(F131=1,J131=3)),"Deficiencia de control mayor (diseño y ejecución)",IF(OR(AND(F131=2,J131=2),AND(F131=3,J131=1),AND(F131=3,J131=2),AND(F131=2,J131=1)),"Deficiencia de control (diseño o ejecución)",IF(AND(F131=2,J131=3),"Oportunidad de mejora","Mantenimiento del control"))))</f>
        <v>Mantenimiento del control</v>
      </c>
      <c r="L131" s="457">
        <f>+IF(K131="",231,IF(K131="Deficiencia de control mayor (diseño y ejecución)",240,IF(K131="Deficiencia de control (diseño o ejecución)",260,IF(K131="Oportunidad de mejora",280,300))))</f>
        <v>300</v>
      </c>
      <c r="M131" s="662">
        <v>5.7896000000000001</v>
      </c>
      <c r="N131" s="662">
        <f>+L131+M131</f>
        <v>305.78960000000001</v>
      </c>
    </row>
    <row r="132" spans="2:14" ht="29.25" customHeight="1">
      <c r="B132" s="461"/>
      <c r="C132" s="775"/>
      <c r="D132" s="788"/>
      <c r="E132" s="426"/>
      <c r="F132" s="586"/>
      <c r="G132" s="68">
        <v>2</v>
      </c>
      <c r="H132" s="96" t="s">
        <v>431</v>
      </c>
      <c r="I132" s="647"/>
      <c r="J132" s="602"/>
      <c r="K132" s="573"/>
      <c r="L132" s="457"/>
      <c r="M132" s="662"/>
      <c r="N132" s="662"/>
    </row>
    <row r="133" spans="2:14" ht="16.5">
      <c r="B133" s="461"/>
      <c r="C133" s="775"/>
      <c r="D133" s="788"/>
      <c r="E133" s="426"/>
      <c r="F133" s="586"/>
      <c r="G133" s="68">
        <v>3</v>
      </c>
      <c r="H133" s="106"/>
      <c r="I133" s="647"/>
      <c r="J133" s="602"/>
      <c r="K133" s="573"/>
      <c r="L133" s="457"/>
      <c r="M133" s="662"/>
      <c r="N133" s="662"/>
    </row>
    <row r="134" spans="2:14" ht="16.5">
      <c r="B134" s="461"/>
      <c r="C134" s="775"/>
      <c r="D134" s="788"/>
      <c r="E134" s="426"/>
      <c r="F134" s="586"/>
      <c r="G134" s="68">
        <v>4</v>
      </c>
      <c r="H134" s="106"/>
      <c r="I134" s="647"/>
      <c r="J134" s="602"/>
      <c r="K134" s="573"/>
      <c r="L134" s="457"/>
      <c r="M134" s="662"/>
      <c r="N134" s="662"/>
    </row>
    <row r="135" spans="2:14" ht="16.5">
      <c r="B135" s="461"/>
      <c r="C135" s="775"/>
      <c r="D135" s="788"/>
      <c r="E135" s="426"/>
      <c r="F135" s="586"/>
      <c r="G135" s="68">
        <v>5</v>
      </c>
      <c r="H135" s="106"/>
      <c r="I135" s="647"/>
      <c r="J135" s="602"/>
      <c r="K135" s="573"/>
      <c r="L135" s="457"/>
      <c r="M135" s="662"/>
      <c r="N135" s="662"/>
    </row>
    <row r="136" spans="2:14" ht="16.5">
      <c r="B136" s="461"/>
      <c r="C136" s="775"/>
      <c r="D136" s="788"/>
      <c r="E136" s="426"/>
      <c r="F136" s="586"/>
      <c r="G136" s="68">
        <v>6</v>
      </c>
      <c r="H136" s="106"/>
      <c r="I136" s="647"/>
      <c r="J136" s="602"/>
      <c r="K136" s="573"/>
      <c r="L136" s="457"/>
      <c r="M136" s="662"/>
      <c r="N136" s="662"/>
    </row>
    <row r="137" spans="2:14" ht="16.5">
      <c r="B137" s="461"/>
      <c r="C137" s="775"/>
      <c r="D137" s="788"/>
      <c r="E137" s="426"/>
      <c r="F137" s="586"/>
      <c r="G137" s="68">
        <v>7</v>
      </c>
      <c r="H137" s="106"/>
      <c r="I137" s="647"/>
      <c r="J137" s="602"/>
      <c r="K137" s="573"/>
      <c r="L137" s="457"/>
      <c r="M137" s="662"/>
      <c r="N137" s="662"/>
    </row>
    <row r="138" spans="2:14" ht="17.25" thickBot="1">
      <c r="B138" s="462"/>
      <c r="C138" s="775"/>
      <c r="D138" s="789"/>
      <c r="E138" s="427"/>
      <c r="F138" s="587"/>
      <c r="G138" s="69">
        <v>8</v>
      </c>
      <c r="H138" s="107"/>
      <c r="I138" s="648"/>
      <c r="J138" s="603"/>
      <c r="K138" s="592"/>
      <c r="L138" s="457"/>
      <c r="M138" s="662"/>
      <c r="N138" s="662"/>
    </row>
  </sheetData>
  <sheetProtection formatCells="0" formatColumns="0" formatRows="0"/>
  <autoFilter ref="C1:C138" xr:uid="{00000000-0009-0000-0000-000005000000}"/>
  <mergeCells count="199">
    <mergeCell ref="I91:I98"/>
    <mergeCell ref="I99:I106"/>
    <mergeCell ref="I107:I114"/>
    <mergeCell ref="I115:I122"/>
    <mergeCell ref="I123:I130"/>
    <mergeCell ref="I131:I138"/>
    <mergeCell ref="H89:H90"/>
    <mergeCell ref="I19:I26"/>
    <mergeCell ref="I27:I34"/>
    <mergeCell ref="I35:I42"/>
    <mergeCell ref="I43:I50"/>
    <mergeCell ref="I55:I62"/>
    <mergeCell ref="I63:I70"/>
    <mergeCell ref="I71:I78"/>
    <mergeCell ref="I79:I86"/>
    <mergeCell ref="M131:M138"/>
    <mergeCell ref="N15:N18"/>
    <mergeCell ref="N19:N26"/>
    <mergeCell ref="N27:N34"/>
    <mergeCell ref="N35:N42"/>
    <mergeCell ref="N43:N50"/>
    <mergeCell ref="N51:N54"/>
    <mergeCell ref="N55:N62"/>
    <mergeCell ref="N63:N70"/>
    <mergeCell ref="N71:N78"/>
    <mergeCell ref="N79:N86"/>
    <mergeCell ref="N87:N90"/>
    <mergeCell ref="N91:N98"/>
    <mergeCell ref="N99:N106"/>
    <mergeCell ref="N107:N114"/>
    <mergeCell ref="N115:N122"/>
    <mergeCell ref="N123:N130"/>
    <mergeCell ref="N131:N138"/>
    <mergeCell ref="L79:L86"/>
    <mergeCell ref="L87:L90"/>
    <mergeCell ref="L91:L98"/>
    <mergeCell ref="L99:L106"/>
    <mergeCell ref="L107:L114"/>
    <mergeCell ref="L115:L122"/>
    <mergeCell ref="L123:L130"/>
    <mergeCell ref="L131:L138"/>
    <mergeCell ref="M15:M18"/>
    <mergeCell ref="M19:M26"/>
    <mergeCell ref="M27:M34"/>
    <mergeCell ref="M35:M42"/>
    <mergeCell ref="M43:M50"/>
    <mergeCell ref="M51:M54"/>
    <mergeCell ref="M55:M62"/>
    <mergeCell ref="M63:M70"/>
    <mergeCell ref="M71:M78"/>
    <mergeCell ref="M79:M86"/>
    <mergeCell ref="M87:M90"/>
    <mergeCell ref="M91:M98"/>
    <mergeCell ref="M99:M106"/>
    <mergeCell ref="M107:M114"/>
    <mergeCell ref="M115:M122"/>
    <mergeCell ref="M123:M130"/>
    <mergeCell ref="L15:L18"/>
    <mergeCell ref="L19:L26"/>
    <mergeCell ref="L27:L34"/>
    <mergeCell ref="L35:L42"/>
    <mergeCell ref="L43:L50"/>
    <mergeCell ref="L51:L54"/>
    <mergeCell ref="L55:L62"/>
    <mergeCell ref="L63:L70"/>
    <mergeCell ref="L71:L78"/>
    <mergeCell ref="A43:A44"/>
    <mergeCell ref="C87:C90"/>
    <mergeCell ref="E63:E70"/>
    <mergeCell ref="E79:E86"/>
    <mergeCell ref="F63:F70"/>
    <mergeCell ref="F79:F86"/>
    <mergeCell ref="F43:F50"/>
    <mergeCell ref="D43:D50"/>
    <mergeCell ref="D63:D70"/>
    <mergeCell ref="D79:D86"/>
    <mergeCell ref="C79:C86"/>
    <mergeCell ref="F55:F62"/>
    <mergeCell ref="D51:D54"/>
    <mergeCell ref="D87:D90"/>
    <mergeCell ref="C51:C54"/>
    <mergeCell ref="D55:D62"/>
    <mergeCell ref="E51:E54"/>
    <mergeCell ref="E87:E90"/>
    <mergeCell ref="F87:F90"/>
    <mergeCell ref="B79:B86"/>
    <mergeCell ref="B87:B90"/>
    <mergeCell ref="D131:D138"/>
    <mergeCell ref="C91:C98"/>
    <mergeCell ref="E91:E98"/>
    <mergeCell ref="F15:F18"/>
    <mergeCell ref="F19:F26"/>
    <mergeCell ref="F27:F34"/>
    <mergeCell ref="D19:D26"/>
    <mergeCell ref="D27:D34"/>
    <mergeCell ref="D15:D18"/>
    <mergeCell ref="C71:C78"/>
    <mergeCell ref="D71:D78"/>
    <mergeCell ref="E71:E78"/>
    <mergeCell ref="F71:F78"/>
    <mergeCell ref="E55:E62"/>
    <mergeCell ref="C63:C70"/>
    <mergeCell ref="C55:C62"/>
    <mergeCell ref="E15:E18"/>
    <mergeCell ref="C99:C106"/>
    <mergeCell ref="E99:E106"/>
    <mergeCell ref="C131:C138"/>
    <mergeCell ref="F131:F138"/>
    <mergeCell ref="F91:F98"/>
    <mergeCell ref="F99:F106"/>
    <mergeCell ref="E131:E138"/>
    <mergeCell ref="J131:J138"/>
    <mergeCell ref="I17:I18"/>
    <mergeCell ref="I53:I54"/>
    <mergeCell ref="I89:I90"/>
    <mergeCell ref="J15:J18"/>
    <mergeCell ref="J19:J26"/>
    <mergeCell ref="J27:J34"/>
    <mergeCell ref="J43:J50"/>
    <mergeCell ref="J51:J54"/>
    <mergeCell ref="J55:J62"/>
    <mergeCell ref="J63:J70"/>
    <mergeCell ref="J79:J86"/>
    <mergeCell ref="J87:J90"/>
    <mergeCell ref="J91:J98"/>
    <mergeCell ref="J99:J106"/>
    <mergeCell ref="J107:J114"/>
    <mergeCell ref="J115:J122"/>
    <mergeCell ref="J123:J130"/>
    <mergeCell ref="G51:I52"/>
    <mergeCell ref="G15:I16"/>
    <mergeCell ref="G87:I88"/>
    <mergeCell ref="G53:G54"/>
    <mergeCell ref="G89:G90"/>
    <mergeCell ref="J71:J78"/>
    <mergeCell ref="F123:F130"/>
    <mergeCell ref="F115:F122"/>
    <mergeCell ref="D91:D98"/>
    <mergeCell ref="D99:D106"/>
    <mergeCell ref="E123:E130"/>
    <mergeCell ref="F107:F114"/>
    <mergeCell ref="F51:F54"/>
    <mergeCell ref="C43:C50"/>
    <mergeCell ref="E43:E50"/>
    <mergeCell ref="C115:C122"/>
    <mergeCell ref="E115:E122"/>
    <mergeCell ref="C107:C114"/>
    <mergeCell ref="C123:C130"/>
    <mergeCell ref="E107:E114"/>
    <mergeCell ref="D107:D114"/>
    <mergeCell ref="D115:D122"/>
    <mergeCell ref="D123:D130"/>
    <mergeCell ref="K35:K42"/>
    <mergeCell ref="K43:K50"/>
    <mergeCell ref="K51:K54"/>
    <mergeCell ref="K55:K62"/>
    <mergeCell ref="K63:K70"/>
    <mergeCell ref="K15:K18"/>
    <mergeCell ref="C12:K12"/>
    <mergeCell ref="C13:K13"/>
    <mergeCell ref="K19:K26"/>
    <mergeCell ref="K27:K34"/>
    <mergeCell ref="C27:C34"/>
    <mergeCell ref="E27:E34"/>
    <mergeCell ref="G17:G18"/>
    <mergeCell ref="C15:C18"/>
    <mergeCell ref="C19:C26"/>
    <mergeCell ref="E19:E26"/>
    <mergeCell ref="C35:C42"/>
    <mergeCell ref="D35:D42"/>
    <mergeCell ref="E35:E42"/>
    <mergeCell ref="F35:F42"/>
    <mergeCell ref="J35:J42"/>
    <mergeCell ref="H17:H18"/>
    <mergeCell ref="H53:H54"/>
    <mergeCell ref="K107:K114"/>
    <mergeCell ref="K115:K122"/>
    <mergeCell ref="K123:K130"/>
    <mergeCell ref="K131:K138"/>
    <mergeCell ref="K71:K78"/>
    <mergeCell ref="K79:K86"/>
    <mergeCell ref="K87:K90"/>
    <mergeCell ref="K91:K98"/>
    <mergeCell ref="K99:K106"/>
    <mergeCell ref="B91:B98"/>
    <mergeCell ref="B99:B106"/>
    <mergeCell ref="B107:B114"/>
    <mergeCell ref="B115:B122"/>
    <mergeCell ref="B123:B130"/>
    <mergeCell ref="B131:B138"/>
    <mergeCell ref="B15:B18"/>
    <mergeCell ref="B19:B26"/>
    <mergeCell ref="B27:B34"/>
    <mergeCell ref="B35:B42"/>
    <mergeCell ref="B43:B50"/>
    <mergeCell ref="B51:B54"/>
    <mergeCell ref="B55:B62"/>
    <mergeCell ref="B63:B70"/>
    <mergeCell ref="B71:B78"/>
  </mergeCells>
  <dataValidations count="1">
    <dataValidation type="list" allowBlank="1" showInputMessage="1" showErrorMessage="1" sqref="J91:J138 J55:J86 F19:F50 J19:J50 F91:F138 F55:F86" xr:uid="{00000000-0002-0000-0500-000000000000}">
      <formula1>"1,2,3"</formula1>
    </dataValidation>
  </dataValidation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262F13"/>
  </sheetPr>
  <dimension ref="B1:N134"/>
  <sheetViews>
    <sheetView showGridLines="0" topLeftCell="A128" zoomScale="110" zoomScaleNormal="110" workbookViewId="0">
      <selection activeCell="H47" sqref="H47"/>
    </sheetView>
  </sheetViews>
  <sheetFormatPr baseColWidth="10" defaultColWidth="3.140625" defaultRowHeight="22.5" customHeight="1"/>
  <cols>
    <col min="1" max="1" width="2.5703125" style="9" customWidth="1"/>
    <col min="2" max="2" width="4.42578125" style="9" hidden="1" customWidth="1"/>
    <col min="3" max="3" width="42.5703125" style="9" customWidth="1"/>
    <col min="4" max="4" width="42.5703125" style="9" hidden="1" customWidth="1"/>
    <col min="5" max="5" width="46.42578125" style="98" customWidth="1"/>
    <col min="6" max="6" width="7.42578125" style="9" customWidth="1"/>
    <col min="7" max="7" width="3.5703125" style="9" bestFit="1" customWidth="1"/>
    <col min="8" max="8" width="52.140625" style="98" customWidth="1"/>
    <col min="9" max="9" width="49.140625" style="9" customWidth="1"/>
    <col min="10" max="10" width="7.42578125" style="9" customWidth="1"/>
    <col min="11" max="11" width="22.5703125" style="9" customWidth="1"/>
    <col min="12" max="12" width="4" style="47" bestFit="1" customWidth="1"/>
    <col min="13" max="13" width="8.42578125" style="47" bestFit="1" customWidth="1"/>
    <col min="14" max="14" width="9.5703125" style="49" customWidth="1"/>
    <col min="15" max="16363" width="3.140625" style="9" customWidth="1"/>
    <col min="16364" max="16384" width="3.140625" style="9"/>
  </cols>
  <sheetData>
    <row r="1" spans="3:11" ht="9.9499999999999993" customHeight="1"/>
    <row r="2" spans="3:11" ht="9.9499999999999993" customHeight="1"/>
    <row r="3" spans="3:11" ht="9.9499999999999993" customHeight="1"/>
    <row r="4" spans="3:11" ht="9.9499999999999993" customHeight="1"/>
    <row r="5" spans="3:11" ht="9.9499999999999993" customHeight="1"/>
    <row r="6" spans="3:11" ht="9.9499999999999993" customHeight="1"/>
    <row r="7" spans="3:11" ht="9.9499999999999993" customHeight="1"/>
    <row r="8" spans="3:11" ht="9.9499999999999993" customHeight="1"/>
    <row r="9" spans="3:11" ht="9.9499999999999993" customHeight="1"/>
    <row r="10" spans="3:11" ht="31.5" customHeight="1"/>
    <row r="11" spans="3:11" ht="24.75" customHeight="1"/>
    <row r="12" spans="3:11" ht="20.25" customHeight="1"/>
    <row r="13" spans="3:11" ht="9.9499999999999993" customHeight="1"/>
    <row r="14" spans="3:11" ht="20.100000000000001" customHeight="1">
      <c r="C14" s="827" t="s">
        <v>432</v>
      </c>
      <c r="D14" s="827"/>
      <c r="E14" s="827"/>
      <c r="F14" s="827"/>
      <c r="G14" s="827"/>
      <c r="H14" s="827"/>
      <c r="I14" s="827"/>
      <c r="J14" s="827"/>
      <c r="K14" s="827"/>
    </row>
    <row r="15" spans="3:11" ht="33.6" customHeight="1">
      <c r="C15" s="532" t="s">
        <v>433</v>
      </c>
      <c r="D15" s="532"/>
      <c r="E15" s="532"/>
      <c r="F15" s="532"/>
      <c r="G15" s="532"/>
      <c r="H15" s="532"/>
      <c r="I15" s="532"/>
      <c r="J15" s="532"/>
      <c r="K15" s="532"/>
    </row>
    <row r="16" spans="3:11" ht="9.9499999999999993" customHeight="1">
      <c r="C16" s="10"/>
      <c r="D16" s="10"/>
      <c r="F16" s="11"/>
    </row>
    <row r="17" spans="2:14" ht="36.75" customHeight="1">
      <c r="B17" s="810" t="s">
        <v>111</v>
      </c>
      <c r="C17" s="809" t="s">
        <v>434</v>
      </c>
      <c r="D17" s="828" t="s">
        <v>8</v>
      </c>
      <c r="E17" s="834" t="s">
        <v>147</v>
      </c>
      <c r="F17" s="833" t="s">
        <v>252</v>
      </c>
      <c r="G17" s="832" t="s">
        <v>115</v>
      </c>
      <c r="H17" s="832"/>
      <c r="I17" s="832"/>
      <c r="J17" s="833" t="s">
        <v>253</v>
      </c>
      <c r="K17" s="816" t="s">
        <v>150</v>
      </c>
      <c r="L17" s="661"/>
      <c r="M17" s="661"/>
      <c r="N17" s="859"/>
    </row>
    <row r="18" spans="2:14" ht="29.25" customHeight="1">
      <c r="B18" s="810"/>
      <c r="C18" s="809"/>
      <c r="D18" s="828"/>
      <c r="E18" s="835"/>
      <c r="F18" s="833"/>
      <c r="G18" s="832" t="s">
        <v>13</v>
      </c>
      <c r="H18" s="828" t="s">
        <v>151</v>
      </c>
      <c r="I18" s="828" t="s">
        <v>118</v>
      </c>
      <c r="J18" s="833"/>
      <c r="K18" s="816"/>
      <c r="L18" s="661"/>
      <c r="M18" s="661"/>
      <c r="N18" s="859"/>
    </row>
    <row r="19" spans="2:14" ht="92.25" customHeight="1" thickBot="1">
      <c r="B19" s="810"/>
      <c r="C19" s="809"/>
      <c r="D19" s="828"/>
      <c r="E19" s="836"/>
      <c r="F19" s="833"/>
      <c r="G19" s="832"/>
      <c r="H19" s="828"/>
      <c r="I19" s="832"/>
      <c r="J19" s="833"/>
      <c r="K19" s="817"/>
      <c r="L19" s="661"/>
      <c r="M19" s="661"/>
      <c r="N19" s="859"/>
    </row>
    <row r="20" spans="2:14" ht="35.25" customHeight="1">
      <c r="B20" s="460" t="str">
        <f>+LEFT(C20,4)</f>
        <v>16.1</v>
      </c>
      <c r="C20" s="700" t="s">
        <v>823</v>
      </c>
      <c r="D20" s="582" t="s">
        <v>435</v>
      </c>
      <c r="E20" s="670" t="s">
        <v>824</v>
      </c>
      <c r="F20" s="829">
        <v>3</v>
      </c>
      <c r="G20" s="70">
        <v>1</v>
      </c>
      <c r="H20" s="100" t="s">
        <v>237</v>
      </c>
      <c r="I20" s="670" t="s">
        <v>858</v>
      </c>
      <c r="J20" s="601">
        <v>3</v>
      </c>
      <c r="K20" s="572" t="str">
        <f>+IF(OR(ISBLANK(F20),ISBLANK(J20)),"",IF(OR(AND(F20=1,J20=1),AND(F20=1,J20=2),AND(F20=1,J20=3)),"Deficiencia de control mayor (diseño y ejecución)",IF(OR(AND(F20=2,J20=2),AND(F20=3,J20=1),AND(F20=3,J20=2),AND(F20=2,J20=1)),"Deficiencia de control (diseño o ejecución)",IF(AND(F20=2,J20=3),"Oportunidad de mejora","Mantenimiento del control"))))</f>
        <v>Mantenimiento del control</v>
      </c>
      <c r="L20" s="457">
        <f>+IF(K20="",312,IF(K20="Deficiencia de control mayor (diseño y ejecución)",320,IF(K20="Deficiencia de control (diseño o ejecución)",340,IF(K20="Oportunidad de mejora",360,380))))</f>
        <v>380</v>
      </c>
      <c r="M20" s="662">
        <v>5.8745000000000003</v>
      </c>
      <c r="N20" s="860">
        <f>+L20+M20</f>
        <v>385.87450000000001</v>
      </c>
    </row>
    <row r="21" spans="2:14" ht="16.5">
      <c r="B21" s="461"/>
      <c r="C21" s="701"/>
      <c r="D21" s="583"/>
      <c r="E21" s="668"/>
      <c r="F21" s="830"/>
      <c r="G21" s="68">
        <v>2</v>
      </c>
      <c r="H21" s="96"/>
      <c r="I21" s="668"/>
      <c r="J21" s="602"/>
      <c r="K21" s="573"/>
      <c r="L21" s="457"/>
      <c r="M21" s="662"/>
      <c r="N21" s="860"/>
    </row>
    <row r="22" spans="2:14" ht="16.5">
      <c r="B22" s="461"/>
      <c r="C22" s="701"/>
      <c r="D22" s="583"/>
      <c r="E22" s="668"/>
      <c r="F22" s="830"/>
      <c r="G22" s="68">
        <v>3</v>
      </c>
      <c r="H22" s="96"/>
      <c r="I22" s="668"/>
      <c r="J22" s="602"/>
      <c r="K22" s="573"/>
      <c r="L22" s="457"/>
      <c r="M22" s="662"/>
      <c r="N22" s="860"/>
    </row>
    <row r="23" spans="2:14" ht="16.5">
      <c r="B23" s="461"/>
      <c r="C23" s="701"/>
      <c r="D23" s="583"/>
      <c r="E23" s="668"/>
      <c r="F23" s="830"/>
      <c r="G23" s="68">
        <v>4</v>
      </c>
      <c r="H23" s="96"/>
      <c r="I23" s="668"/>
      <c r="J23" s="602"/>
      <c r="K23" s="573"/>
      <c r="L23" s="457"/>
      <c r="M23" s="662"/>
      <c r="N23" s="860"/>
    </row>
    <row r="24" spans="2:14" ht="16.5">
      <c r="B24" s="461"/>
      <c r="C24" s="701"/>
      <c r="D24" s="583"/>
      <c r="E24" s="668"/>
      <c r="F24" s="830"/>
      <c r="G24" s="68">
        <v>5</v>
      </c>
      <c r="H24" s="96"/>
      <c r="I24" s="668"/>
      <c r="J24" s="602"/>
      <c r="K24" s="573"/>
      <c r="L24" s="457"/>
      <c r="M24" s="662"/>
      <c r="N24" s="860"/>
    </row>
    <row r="25" spans="2:14" ht="16.5">
      <c r="B25" s="461"/>
      <c r="C25" s="701"/>
      <c r="D25" s="583"/>
      <c r="E25" s="668"/>
      <c r="F25" s="830"/>
      <c r="G25" s="68">
        <v>6</v>
      </c>
      <c r="H25" s="96"/>
      <c r="I25" s="668"/>
      <c r="J25" s="602"/>
      <c r="K25" s="573"/>
      <c r="L25" s="457"/>
      <c r="M25" s="662"/>
      <c r="N25" s="860"/>
    </row>
    <row r="26" spans="2:14" ht="16.5">
      <c r="B26" s="461"/>
      <c r="C26" s="701"/>
      <c r="D26" s="583"/>
      <c r="E26" s="668"/>
      <c r="F26" s="830"/>
      <c r="G26" s="68">
        <v>7</v>
      </c>
      <c r="H26" s="96"/>
      <c r="I26" s="668"/>
      <c r="J26" s="602"/>
      <c r="K26" s="573"/>
      <c r="L26" s="457"/>
      <c r="M26" s="662"/>
      <c r="N26" s="860"/>
    </row>
    <row r="27" spans="2:14" ht="17.25" thickBot="1">
      <c r="B27" s="462"/>
      <c r="C27" s="702"/>
      <c r="D27" s="584"/>
      <c r="E27" s="669"/>
      <c r="F27" s="831"/>
      <c r="G27" s="69">
        <v>8</v>
      </c>
      <c r="H27" s="97"/>
      <c r="I27" s="669"/>
      <c r="J27" s="603"/>
      <c r="K27" s="592"/>
      <c r="L27" s="457"/>
      <c r="M27" s="662"/>
      <c r="N27" s="860"/>
    </row>
    <row r="28" spans="2:14" ht="36.75" customHeight="1">
      <c r="B28" s="460" t="str">
        <f>+LEFT(C28,4)</f>
        <v>16.2</v>
      </c>
      <c r="C28" s="395" t="s">
        <v>436</v>
      </c>
      <c r="D28" s="582" t="s">
        <v>435</v>
      </c>
      <c r="E28" s="623" t="s">
        <v>825</v>
      </c>
      <c r="F28" s="585">
        <v>3</v>
      </c>
      <c r="G28" s="70">
        <v>1</v>
      </c>
      <c r="H28" s="100" t="s">
        <v>238</v>
      </c>
      <c r="I28" s="640" t="s">
        <v>826</v>
      </c>
      <c r="J28" s="601">
        <v>3</v>
      </c>
      <c r="K28" s="572" t="str">
        <f>+IF(OR(ISBLANK(F28),ISBLANK(J28)),"",IF(OR(AND(F28=1,J28=1),AND(F28=1,J28=2),AND(F28=1,J28=3)),"Deficiencia de control mayor (diseño y ejecución)",IF(OR(AND(F28=2,J28=2),AND(F28=3,J28=1),AND(F28=3,J28=2),AND(F28=2,J28=1)),"Deficiencia de control (diseño o ejecución)",IF(AND(F28=2,J28=3),"Oportunidad de mejora","Mantenimiento del control"))))</f>
        <v>Mantenimiento del control</v>
      </c>
      <c r="L28" s="457">
        <f>+IF(K28="",312,IF(K28="Deficiencia de control mayor (diseño y ejecución)",320,IF(K28="Deficiencia de control (diseño o ejecución)",340,IF(K28="Oportunidad de mejora",360,380))))</f>
        <v>380</v>
      </c>
      <c r="M28" s="662">
        <v>5.9653999999999998</v>
      </c>
      <c r="N28" s="860">
        <f>+L28+M28</f>
        <v>385.96539999999999</v>
      </c>
    </row>
    <row r="29" spans="2:14" ht="49.5">
      <c r="B29" s="461"/>
      <c r="C29" s="396"/>
      <c r="D29" s="583"/>
      <c r="E29" s="837"/>
      <c r="F29" s="586"/>
      <c r="G29" s="68">
        <v>2</v>
      </c>
      <c r="H29" s="96" t="s">
        <v>242</v>
      </c>
      <c r="I29" s="647"/>
      <c r="J29" s="602"/>
      <c r="K29" s="573"/>
      <c r="L29" s="457"/>
      <c r="M29" s="662"/>
      <c r="N29" s="860"/>
    </row>
    <row r="30" spans="2:14" ht="33">
      <c r="B30" s="461"/>
      <c r="C30" s="396"/>
      <c r="D30" s="583"/>
      <c r="E30" s="837"/>
      <c r="F30" s="586"/>
      <c r="G30" s="68">
        <v>3</v>
      </c>
      <c r="H30" s="96" t="s">
        <v>243</v>
      </c>
      <c r="I30" s="647"/>
      <c r="J30" s="602"/>
      <c r="K30" s="573"/>
      <c r="L30" s="457"/>
      <c r="M30" s="662"/>
      <c r="N30" s="860"/>
    </row>
    <row r="31" spans="2:14" ht="33">
      <c r="B31" s="461"/>
      <c r="C31" s="396"/>
      <c r="D31" s="583"/>
      <c r="E31" s="837"/>
      <c r="F31" s="586"/>
      <c r="G31" s="68">
        <v>4</v>
      </c>
      <c r="H31" s="96" t="s">
        <v>876</v>
      </c>
      <c r="I31" s="647"/>
      <c r="J31" s="602"/>
      <c r="K31" s="573"/>
      <c r="L31" s="457"/>
      <c r="M31" s="662"/>
      <c r="N31" s="860"/>
    </row>
    <row r="32" spans="2:14" ht="49.5">
      <c r="B32" s="461"/>
      <c r="C32" s="396"/>
      <c r="D32" s="583"/>
      <c r="E32" s="837"/>
      <c r="F32" s="586"/>
      <c r="G32" s="68">
        <v>5</v>
      </c>
      <c r="H32" s="96" t="s">
        <v>244</v>
      </c>
      <c r="I32" s="647"/>
      <c r="J32" s="602"/>
      <c r="K32" s="573"/>
      <c r="L32" s="457"/>
      <c r="M32" s="662"/>
      <c r="N32" s="860"/>
    </row>
    <row r="33" spans="2:14" ht="16.5">
      <c r="B33" s="461"/>
      <c r="C33" s="396"/>
      <c r="D33" s="583"/>
      <c r="E33" s="837"/>
      <c r="F33" s="586"/>
      <c r="G33" s="68">
        <v>6</v>
      </c>
      <c r="H33" s="96"/>
      <c r="I33" s="647"/>
      <c r="J33" s="602"/>
      <c r="K33" s="573"/>
      <c r="L33" s="457"/>
      <c r="M33" s="662"/>
      <c r="N33" s="860"/>
    </row>
    <row r="34" spans="2:14" ht="16.5">
      <c r="B34" s="461"/>
      <c r="C34" s="396"/>
      <c r="D34" s="583"/>
      <c r="E34" s="837"/>
      <c r="F34" s="586"/>
      <c r="G34" s="68">
        <v>7</v>
      </c>
      <c r="H34" s="96"/>
      <c r="I34" s="647"/>
      <c r="J34" s="602"/>
      <c r="K34" s="573"/>
      <c r="L34" s="457"/>
      <c r="M34" s="662"/>
      <c r="N34" s="860"/>
    </row>
    <row r="35" spans="2:14" ht="17.25" thickBot="1">
      <c r="B35" s="462"/>
      <c r="C35" s="397"/>
      <c r="D35" s="584"/>
      <c r="E35" s="838"/>
      <c r="F35" s="587"/>
      <c r="G35" s="69">
        <v>8</v>
      </c>
      <c r="H35" s="97"/>
      <c r="I35" s="648"/>
      <c r="J35" s="603"/>
      <c r="K35" s="592"/>
      <c r="L35" s="457"/>
      <c r="M35" s="662"/>
      <c r="N35" s="860"/>
    </row>
    <row r="36" spans="2:14" ht="34.5" customHeight="1">
      <c r="B36" s="460" t="str">
        <f>+LEFT(C36,4)</f>
        <v>16.3</v>
      </c>
      <c r="C36" s="731" t="s">
        <v>437</v>
      </c>
      <c r="D36" s="582" t="s">
        <v>438</v>
      </c>
      <c r="E36" s="640" t="s">
        <v>827</v>
      </c>
      <c r="F36" s="585">
        <v>3</v>
      </c>
      <c r="G36" s="70">
        <v>1</v>
      </c>
      <c r="H36" s="100" t="s">
        <v>439</v>
      </c>
      <c r="I36" s="670" t="s">
        <v>829</v>
      </c>
      <c r="J36" s="601">
        <v>3</v>
      </c>
      <c r="K36" s="572" t="str">
        <f>+IF(OR(ISBLANK(F36),ISBLANK(J36)),"",IF(OR(AND(F36=1,J36=1),AND(F36=1,J36=2),AND(F36=1,J36=3)),"Deficiencia de control mayor (diseño y ejecución)",IF(OR(AND(F36=2,J36=2),AND(F36=3,J36=1),AND(F36=3,J36=2),AND(F36=2,J36=1)),"Deficiencia de control (diseño o ejecución)",IF(AND(F36=2,J36=3),"Oportunidad de mejora","Mantenimiento del control"))))</f>
        <v>Mantenimiento del control</v>
      </c>
      <c r="L36" s="457">
        <f>+IF(K36="",312,IF(K36="Deficiencia de control mayor (diseño y ejecución)",320,IF(K36="Deficiencia de control (diseño o ejecución)",340,IF(K36="Oportunidad de mejora",360,380))))</f>
        <v>380</v>
      </c>
      <c r="M36" s="662">
        <v>6.0122999999999998</v>
      </c>
      <c r="N36" s="860">
        <f>+L36+M36</f>
        <v>386.01229999999998</v>
      </c>
    </row>
    <row r="37" spans="2:14" ht="22.5" customHeight="1">
      <c r="B37" s="461"/>
      <c r="C37" s="701"/>
      <c r="D37" s="583"/>
      <c r="E37" s="647"/>
      <c r="F37" s="586"/>
      <c r="G37" s="68">
        <v>2</v>
      </c>
      <c r="H37" s="96" t="s">
        <v>440</v>
      </c>
      <c r="I37" s="668"/>
      <c r="J37" s="602"/>
      <c r="K37" s="573"/>
      <c r="L37" s="457"/>
      <c r="M37" s="662"/>
      <c r="N37" s="860"/>
    </row>
    <row r="38" spans="2:14" ht="31.5" customHeight="1">
      <c r="B38" s="461"/>
      <c r="C38" s="701"/>
      <c r="D38" s="583"/>
      <c r="E38" s="647"/>
      <c r="F38" s="586"/>
      <c r="G38" s="68">
        <v>3</v>
      </c>
      <c r="H38" s="96" t="s">
        <v>441</v>
      </c>
      <c r="I38" s="668"/>
      <c r="J38" s="602"/>
      <c r="K38" s="573"/>
      <c r="L38" s="457"/>
      <c r="M38" s="662"/>
      <c r="N38" s="860"/>
    </row>
    <row r="39" spans="2:14" ht="30.75" customHeight="1">
      <c r="B39" s="461"/>
      <c r="C39" s="701"/>
      <c r="D39" s="583"/>
      <c r="E39" s="647"/>
      <c r="F39" s="586"/>
      <c r="G39" s="68">
        <v>4</v>
      </c>
      <c r="H39" s="96" t="s">
        <v>828</v>
      </c>
      <c r="I39" s="668"/>
      <c r="J39" s="602"/>
      <c r="K39" s="573"/>
      <c r="L39" s="457"/>
      <c r="M39" s="662"/>
      <c r="N39" s="860"/>
    </row>
    <row r="40" spans="2:14" ht="22.5" customHeight="1">
      <c r="B40" s="461"/>
      <c r="C40" s="701"/>
      <c r="D40" s="583"/>
      <c r="E40" s="647"/>
      <c r="F40" s="586"/>
      <c r="G40" s="68">
        <v>5</v>
      </c>
      <c r="H40" s="96"/>
      <c r="I40" s="668"/>
      <c r="J40" s="602"/>
      <c r="K40" s="573"/>
      <c r="L40" s="457"/>
      <c r="M40" s="662"/>
      <c r="N40" s="860"/>
    </row>
    <row r="41" spans="2:14" ht="22.5" customHeight="1">
      <c r="B41" s="461"/>
      <c r="C41" s="701"/>
      <c r="D41" s="583"/>
      <c r="E41" s="647"/>
      <c r="F41" s="586"/>
      <c r="G41" s="68">
        <v>6</v>
      </c>
      <c r="H41" s="96"/>
      <c r="I41" s="668"/>
      <c r="J41" s="602"/>
      <c r="K41" s="573"/>
      <c r="L41" s="457"/>
      <c r="M41" s="662"/>
      <c r="N41" s="860"/>
    </row>
    <row r="42" spans="2:14" ht="22.5" customHeight="1">
      <c r="B42" s="461"/>
      <c r="C42" s="701"/>
      <c r="D42" s="583"/>
      <c r="E42" s="647"/>
      <c r="F42" s="586"/>
      <c r="G42" s="68">
        <v>7</v>
      </c>
      <c r="H42" s="96"/>
      <c r="I42" s="668"/>
      <c r="J42" s="602"/>
      <c r="K42" s="573"/>
      <c r="L42" s="457"/>
      <c r="M42" s="662"/>
      <c r="N42" s="860"/>
    </row>
    <row r="43" spans="2:14" ht="22.5" customHeight="1" thickBot="1">
      <c r="B43" s="462"/>
      <c r="C43" s="702"/>
      <c r="D43" s="584"/>
      <c r="E43" s="648"/>
      <c r="F43" s="587"/>
      <c r="G43" s="69">
        <v>8</v>
      </c>
      <c r="H43" s="97"/>
      <c r="I43" s="669"/>
      <c r="J43" s="603"/>
      <c r="K43" s="592"/>
      <c r="L43" s="457"/>
      <c r="M43" s="662"/>
      <c r="N43" s="860"/>
    </row>
    <row r="44" spans="2:14" ht="100.5" customHeight="1">
      <c r="B44" s="460" t="str">
        <f>+LEFT(C44,4)</f>
        <v>16.4</v>
      </c>
      <c r="C44" s="731" t="s">
        <v>442</v>
      </c>
      <c r="D44" s="582" t="s">
        <v>443</v>
      </c>
      <c r="E44" s="770" t="s">
        <v>444</v>
      </c>
      <c r="F44" s="585">
        <v>3</v>
      </c>
      <c r="G44" s="70">
        <v>1</v>
      </c>
      <c r="H44" s="113" t="s">
        <v>445</v>
      </c>
      <c r="I44" s="650" t="s">
        <v>859</v>
      </c>
      <c r="J44" s="601">
        <v>3</v>
      </c>
      <c r="K44" s="572" t="str">
        <f>+IF(OR(ISBLANK(F44),ISBLANK(J44)),"",IF(OR(AND(F44=1,J44=1),AND(F44=1,J44=2),AND(F44=1,J44=3)),"Deficiencia de control mayor (diseño y ejecución)",IF(OR(AND(F44=2,J44=2),AND(F44=3,J44=1),AND(F44=3,J44=2),AND(F44=2,J44=1)),"Deficiencia de control (diseño o ejecución)",IF(AND(F44=2,J44=3),"Oportunidad de mejora","Mantenimiento del control"))))</f>
        <v>Mantenimiento del control</v>
      </c>
      <c r="L44" s="457">
        <f>+IF(K44="",312,IF(K44="Deficiencia de control mayor (diseño y ejecución)",320,IF(K44="Deficiencia de control (diseño o ejecución)",340,IF(K44="Oportunidad de mejora",360,380))))</f>
        <v>380</v>
      </c>
      <c r="M44" s="662">
        <v>6.1235999999999997</v>
      </c>
      <c r="N44" s="860">
        <f>+L44+M44</f>
        <v>386.12360000000001</v>
      </c>
    </row>
    <row r="45" spans="2:14" ht="57.75" customHeight="1">
      <c r="B45" s="461"/>
      <c r="C45" s="701"/>
      <c r="D45" s="583"/>
      <c r="E45" s="839"/>
      <c r="F45" s="586"/>
      <c r="G45" s="68">
        <v>2</v>
      </c>
      <c r="H45" s="114" t="s">
        <v>830</v>
      </c>
      <c r="I45" s="651"/>
      <c r="J45" s="602"/>
      <c r="K45" s="573"/>
      <c r="L45" s="457"/>
      <c r="M45" s="662"/>
      <c r="N45" s="860"/>
    </row>
    <row r="46" spans="2:14" ht="66.75" customHeight="1">
      <c r="B46" s="461"/>
      <c r="C46" s="701"/>
      <c r="D46" s="583"/>
      <c r="E46" s="839"/>
      <c r="F46" s="586"/>
      <c r="G46" s="68">
        <v>3</v>
      </c>
      <c r="H46" s="114" t="s">
        <v>831</v>
      </c>
      <c r="I46" s="651"/>
      <c r="J46" s="602"/>
      <c r="K46" s="573"/>
      <c r="L46" s="457"/>
      <c r="M46" s="662"/>
      <c r="N46" s="860"/>
    </row>
    <row r="47" spans="2:14" ht="46.5" customHeight="1">
      <c r="B47" s="461"/>
      <c r="C47" s="701"/>
      <c r="D47" s="583"/>
      <c r="E47" s="839"/>
      <c r="F47" s="586"/>
      <c r="G47" s="68">
        <v>4</v>
      </c>
      <c r="I47" s="651"/>
      <c r="J47" s="602"/>
      <c r="K47" s="573"/>
      <c r="L47" s="457"/>
      <c r="M47" s="662"/>
      <c r="N47" s="860"/>
    </row>
    <row r="48" spans="2:14" ht="22.5" customHeight="1">
      <c r="B48" s="461"/>
      <c r="C48" s="701"/>
      <c r="D48" s="583"/>
      <c r="E48" s="839"/>
      <c r="F48" s="586"/>
      <c r="G48" s="68">
        <v>5</v>
      </c>
      <c r="H48" s="106"/>
      <c r="I48" s="651"/>
      <c r="J48" s="602"/>
      <c r="K48" s="573"/>
      <c r="L48" s="457"/>
      <c r="M48" s="662"/>
      <c r="N48" s="860"/>
    </row>
    <row r="49" spans="2:14" ht="22.5" customHeight="1">
      <c r="B49" s="461"/>
      <c r="C49" s="701"/>
      <c r="D49" s="583"/>
      <c r="E49" s="839"/>
      <c r="F49" s="586"/>
      <c r="G49" s="68">
        <v>6</v>
      </c>
      <c r="H49" s="106"/>
      <c r="I49" s="651"/>
      <c r="J49" s="602"/>
      <c r="K49" s="573"/>
      <c r="L49" s="457"/>
      <c r="M49" s="662"/>
      <c r="N49" s="860"/>
    </row>
    <row r="50" spans="2:14" ht="22.5" customHeight="1">
      <c r="B50" s="461"/>
      <c r="C50" s="701"/>
      <c r="D50" s="583"/>
      <c r="E50" s="839"/>
      <c r="F50" s="586"/>
      <c r="G50" s="68">
        <v>7</v>
      </c>
      <c r="H50" s="106"/>
      <c r="I50" s="651"/>
      <c r="J50" s="602"/>
      <c r="K50" s="573"/>
      <c r="L50" s="457"/>
      <c r="M50" s="662"/>
      <c r="N50" s="860"/>
    </row>
    <row r="51" spans="2:14" ht="22.5" customHeight="1">
      <c r="B51" s="462"/>
      <c r="C51" s="702"/>
      <c r="D51" s="584"/>
      <c r="E51" s="840"/>
      <c r="F51" s="587"/>
      <c r="G51" s="69">
        <v>8</v>
      </c>
      <c r="H51" s="107"/>
      <c r="I51" s="652"/>
      <c r="J51" s="603"/>
      <c r="K51" s="592"/>
      <c r="L51" s="457"/>
      <c r="M51" s="662"/>
      <c r="N51" s="860"/>
    </row>
    <row r="52" spans="2:14" ht="28.5" customHeight="1">
      <c r="B52" s="460" t="str">
        <f>+LEFT(C52,4)</f>
        <v>16.5</v>
      </c>
      <c r="C52" s="731" t="s">
        <v>446</v>
      </c>
      <c r="D52" s="582" t="s">
        <v>286</v>
      </c>
      <c r="E52" s="640" t="s">
        <v>447</v>
      </c>
      <c r="F52" s="585">
        <v>3</v>
      </c>
      <c r="G52" s="70">
        <v>1</v>
      </c>
      <c r="H52" s="100" t="s">
        <v>448</v>
      </c>
      <c r="I52" s="670" t="s">
        <v>911</v>
      </c>
      <c r="J52" s="601">
        <v>3</v>
      </c>
      <c r="K52" s="572" t="str">
        <f>+IF(OR(ISBLANK(F52),ISBLANK(J52)),"",IF(OR(AND(F52=1,J52=1),AND(F52=1,J52=2),AND(F52=1,J52=3)),"Deficiencia de control mayor (diseño y ejecución)",IF(OR(AND(F52=2,J52=2),AND(F52=3,J52=1),AND(F52=3,J52=2),AND(F52=2,J52=1)),"Deficiencia de control (diseño o ejecución)",IF(AND(F52=2,J52=3),"Oportunidad de mejora","Mantenimiento del control"))))</f>
        <v>Mantenimiento del control</v>
      </c>
      <c r="L52" s="457">
        <f>+IF(K52="",312,IF(K52="Deficiencia de control mayor (diseño y ejecución)",320,IF(K52="Deficiencia de control (diseño o ejecución)",340,IF(K52="Oportunidad de mejora",360,380))))</f>
        <v>380</v>
      </c>
      <c r="M52" s="662">
        <v>6.2135999999999996</v>
      </c>
      <c r="N52" s="860">
        <f>+L52+M52</f>
        <v>386.21359999999999</v>
      </c>
    </row>
    <row r="53" spans="2:14" ht="33">
      <c r="B53" s="461"/>
      <c r="C53" s="701"/>
      <c r="D53" s="583"/>
      <c r="E53" s="647"/>
      <c r="F53" s="586"/>
      <c r="G53" s="68">
        <v>2</v>
      </c>
      <c r="H53" s="96" t="s">
        <v>799</v>
      </c>
      <c r="I53" s="668"/>
      <c r="J53" s="602"/>
      <c r="K53" s="573"/>
      <c r="L53" s="457"/>
      <c r="M53" s="662"/>
      <c r="N53" s="860"/>
    </row>
    <row r="54" spans="2:14" ht="32.25" customHeight="1">
      <c r="B54" s="461"/>
      <c r="C54" s="701"/>
      <c r="D54" s="583"/>
      <c r="E54" s="647"/>
      <c r="F54" s="586"/>
      <c r="G54" s="68">
        <v>3</v>
      </c>
      <c r="H54" s="96" t="s">
        <v>449</v>
      </c>
      <c r="I54" s="668"/>
      <c r="J54" s="602"/>
      <c r="K54" s="573"/>
      <c r="L54" s="457"/>
      <c r="M54" s="662"/>
      <c r="N54" s="860"/>
    </row>
    <row r="55" spans="2:14" ht="33">
      <c r="B55" s="461"/>
      <c r="C55" s="701"/>
      <c r="D55" s="583"/>
      <c r="E55" s="647"/>
      <c r="F55" s="586"/>
      <c r="G55" s="68">
        <v>4</v>
      </c>
      <c r="H55" s="96" t="s">
        <v>450</v>
      </c>
      <c r="I55" s="668"/>
      <c r="J55" s="602"/>
      <c r="K55" s="573"/>
      <c r="L55" s="457"/>
      <c r="M55" s="662"/>
      <c r="N55" s="860"/>
    </row>
    <row r="56" spans="2:14" ht="33">
      <c r="B56" s="461"/>
      <c r="C56" s="701"/>
      <c r="D56" s="583"/>
      <c r="E56" s="647"/>
      <c r="F56" s="586"/>
      <c r="G56" s="68">
        <v>5</v>
      </c>
      <c r="H56" s="96" t="s">
        <v>451</v>
      </c>
      <c r="I56" s="668"/>
      <c r="J56" s="602"/>
      <c r="K56" s="573"/>
      <c r="L56" s="457"/>
      <c r="M56" s="662"/>
      <c r="N56" s="860"/>
    </row>
    <row r="57" spans="2:14" ht="45.75" customHeight="1">
      <c r="B57" s="461"/>
      <c r="C57" s="701"/>
      <c r="D57" s="583"/>
      <c r="E57" s="647"/>
      <c r="F57" s="586"/>
      <c r="G57" s="68">
        <v>6</v>
      </c>
      <c r="H57" s="96" t="s">
        <v>452</v>
      </c>
      <c r="I57" s="668"/>
      <c r="J57" s="602"/>
      <c r="K57" s="573"/>
      <c r="L57" s="457"/>
      <c r="M57" s="662"/>
      <c r="N57" s="860"/>
    </row>
    <row r="58" spans="2:14" ht="16.5">
      <c r="B58" s="461"/>
      <c r="C58" s="701"/>
      <c r="D58" s="583"/>
      <c r="E58" s="647"/>
      <c r="F58" s="586"/>
      <c r="G58" s="68">
        <v>7</v>
      </c>
      <c r="H58" s="96"/>
      <c r="I58" s="668"/>
      <c r="J58" s="602"/>
      <c r="K58" s="573"/>
      <c r="L58" s="457"/>
      <c r="M58" s="662"/>
      <c r="N58" s="860"/>
    </row>
    <row r="59" spans="2:14" ht="17.25" thickBot="1">
      <c r="B59" s="462"/>
      <c r="C59" s="702"/>
      <c r="D59" s="584"/>
      <c r="E59" s="648"/>
      <c r="F59" s="587"/>
      <c r="G59" s="69">
        <v>8</v>
      </c>
      <c r="H59" s="97"/>
      <c r="I59" s="669"/>
      <c r="J59" s="603"/>
      <c r="K59" s="592"/>
      <c r="L59" s="457"/>
      <c r="M59" s="662"/>
      <c r="N59" s="860"/>
    </row>
    <row r="60" spans="2:14" ht="22.5" customHeight="1">
      <c r="B60" s="809"/>
      <c r="C60" s="809" t="s">
        <v>453</v>
      </c>
      <c r="D60" s="828" t="s">
        <v>8</v>
      </c>
      <c r="E60" s="856" t="s">
        <v>147</v>
      </c>
      <c r="F60" s="855" t="s">
        <v>252</v>
      </c>
      <c r="G60" s="842" t="s">
        <v>115</v>
      </c>
      <c r="H60" s="842"/>
      <c r="I60" s="842"/>
      <c r="J60" s="855" t="s">
        <v>253</v>
      </c>
      <c r="K60" s="814" t="s">
        <v>150</v>
      </c>
      <c r="L60" s="660"/>
      <c r="M60" s="660"/>
      <c r="N60" s="861"/>
    </row>
    <row r="61" spans="2:14" ht="22.5" customHeight="1">
      <c r="B61" s="809"/>
      <c r="C61" s="809"/>
      <c r="D61" s="828"/>
      <c r="E61" s="857"/>
      <c r="F61" s="855"/>
      <c r="G61" s="842" t="s">
        <v>13</v>
      </c>
      <c r="H61" s="841" t="s">
        <v>151</v>
      </c>
      <c r="I61" s="841" t="s">
        <v>118</v>
      </c>
      <c r="J61" s="855"/>
      <c r="K61" s="814"/>
      <c r="L61" s="660"/>
      <c r="M61" s="660"/>
      <c r="N61" s="861"/>
    </row>
    <row r="62" spans="2:14" ht="77.25" customHeight="1" thickBot="1">
      <c r="B62" s="809"/>
      <c r="C62" s="809"/>
      <c r="D62" s="828"/>
      <c r="E62" s="858"/>
      <c r="F62" s="855"/>
      <c r="G62" s="842"/>
      <c r="H62" s="841"/>
      <c r="I62" s="842"/>
      <c r="J62" s="855"/>
      <c r="K62" s="815"/>
      <c r="L62" s="660"/>
      <c r="M62" s="660"/>
      <c r="N62" s="861"/>
    </row>
    <row r="63" spans="2:14" ht="29.25" customHeight="1">
      <c r="B63" s="460" t="str">
        <f>+LEFT(C63,5)</f>
        <v xml:space="preserve">17.1 </v>
      </c>
      <c r="C63" s="731" t="s">
        <v>454</v>
      </c>
      <c r="D63" s="582" t="s">
        <v>286</v>
      </c>
      <c r="E63" s="640" t="s">
        <v>455</v>
      </c>
      <c r="F63" s="585">
        <v>3</v>
      </c>
      <c r="G63" s="70">
        <v>1</v>
      </c>
      <c r="H63" s="100" t="s">
        <v>456</v>
      </c>
      <c r="I63" s="670" t="s">
        <v>912</v>
      </c>
      <c r="J63" s="601">
        <v>3</v>
      </c>
      <c r="K63" s="572" t="str">
        <f>+IF(OR(ISBLANK(F63),ISBLANK(J63)),"",IF(OR(AND(F63=1,J63=1),AND(F63=1,J63=2),AND(F63=1,J63=3)),"Deficiencia de control mayor (diseño y ejecución)",IF(OR(AND(F63=2,J63=2),AND(F63=3,J63=1),AND(F63=3,J63=2),AND(F63=2,J63=1)),"Deficiencia de control (diseño o ejecución)",IF(AND(F63=2,J63=3),"Oportunidad de mejora","Mantenimiento del control"))))</f>
        <v>Mantenimiento del control</v>
      </c>
      <c r="L63" s="457">
        <f>+IF(K63="",312,IF(K63="Deficiencia de control mayor (diseño y ejecución)",320,IF(K63="Deficiencia de control (diseño o ejecución)",340,IF(K63="Oportunidad de mejora",360,380))))</f>
        <v>380</v>
      </c>
      <c r="M63" s="662">
        <v>6.3258000000000001</v>
      </c>
      <c r="N63" s="860">
        <f>+L63+M63</f>
        <v>386.32580000000002</v>
      </c>
    </row>
    <row r="64" spans="2:14" ht="33">
      <c r="B64" s="461"/>
      <c r="C64" s="701"/>
      <c r="D64" s="583"/>
      <c r="E64" s="647"/>
      <c r="F64" s="586"/>
      <c r="G64" s="68">
        <v>2</v>
      </c>
      <c r="H64" s="96" t="s">
        <v>457</v>
      </c>
      <c r="I64" s="668"/>
      <c r="J64" s="602"/>
      <c r="K64" s="573"/>
      <c r="L64" s="457"/>
      <c r="M64" s="662"/>
      <c r="N64" s="860"/>
    </row>
    <row r="65" spans="2:14" ht="16.5">
      <c r="B65" s="461"/>
      <c r="C65" s="701"/>
      <c r="D65" s="583"/>
      <c r="E65" s="647"/>
      <c r="F65" s="586"/>
      <c r="G65" s="68">
        <v>3</v>
      </c>
      <c r="H65" s="96"/>
      <c r="I65" s="668"/>
      <c r="J65" s="602"/>
      <c r="K65" s="573"/>
      <c r="L65" s="457"/>
      <c r="M65" s="662"/>
      <c r="N65" s="860"/>
    </row>
    <row r="66" spans="2:14" ht="16.5">
      <c r="B66" s="461"/>
      <c r="C66" s="701"/>
      <c r="D66" s="583"/>
      <c r="E66" s="647"/>
      <c r="F66" s="586"/>
      <c r="G66" s="68">
        <v>4</v>
      </c>
      <c r="H66" s="96"/>
      <c r="I66" s="668"/>
      <c r="J66" s="602"/>
      <c r="K66" s="573"/>
      <c r="L66" s="457"/>
      <c r="M66" s="662"/>
      <c r="N66" s="860"/>
    </row>
    <row r="67" spans="2:14" ht="16.5">
      <c r="B67" s="461"/>
      <c r="C67" s="701"/>
      <c r="D67" s="583"/>
      <c r="E67" s="647"/>
      <c r="F67" s="586"/>
      <c r="G67" s="68">
        <v>5</v>
      </c>
      <c r="H67" s="96"/>
      <c r="I67" s="668"/>
      <c r="J67" s="602"/>
      <c r="K67" s="573"/>
      <c r="L67" s="457"/>
      <c r="M67" s="662"/>
      <c r="N67" s="860"/>
    </row>
    <row r="68" spans="2:14" ht="16.5">
      <c r="B68" s="461"/>
      <c r="C68" s="701"/>
      <c r="D68" s="583"/>
      <c r="E68" s="647"/>
      <c r="F68" s="586"/>
      <c r="G68" s="68">
        <v>6</v>
      </c>
      <c r="H68" s="96"/>
      <c r="I68" s="668"/>
      <c r="J68" s="602"/>
      <c r="K68" s="573"/>
      <c r="L68" s="457"/>
      <c r="M68" s="662"/>
      <c r="N68" s="860"/>
    </row>
    <row r="69" spans="2:14" ht="16.5">
      <c r="B69" s="461"/>
      <c r="C69" s="701"/>
      <c r="D69" s="583"/>
      <c r="E69" s="647"/>
      <c r="F69" s="586"/>
      <c r="G69" s="68">
        <v>7</v>
      </c>
      <c r="H69" s="96"/>
      <c r="I69" s="668"/>
      <c r="J69" s="602"/>
      <c r="K69" s="573"/>
      <c r="L69" s="457"/>
      <c r="M69" s="662"/>
      <c r="N69" s="860"/>
    </row>
    <row r="70" spans="2:14" ht="17.25" thickBot="1">
      <c r="B70" s="462"/>
      <c r="C70" s="702"/>
      <c r="D70" s="584"/>
      <c r="E70" s="648"/>
      <c r="F70" s="587"/>
      <c r="G70" s="69">
        <v>8</v>
      </c>
      <c r="H70" s="97"/>
      <c r="I70" s="669"/>
      <c r="J70" s="603"/>
      <c r="K70" s="592"/>
      <c r="L70" s="457"/>
      <c r="M70" s="662"/>
      <c r="N70" s="860"/>
    </row>
    <row r="71" spans="2:14" ht="34.5" customHeight="1">
      <c r="B71" s="460" t="str">
        <f>+LEFT(C71,5)</f>
        <v xml:space="preserve">17.2 </v>
      </c>
      <c r="C71" s="852" t="s">
        <v>458</v>
      </c>
      <c r="D71" s="582" t="s">
        <v>286</v>
      </c>
      <c r="E71" s="640" t="s">
        <v>459</v>
      </c>
      <c r="F71" s="585">
        <v>3</v>
      </c>
      <c r="G71" s="70">
        <v>1</v>
      </c>
      <c r="H71" s="100" t="s">
        <v>448</v>
      </c>
      <c r="I71" s="670" t="s">
        <v>860</v>
      </c>
      <c r="J71" s="601">
        <v>3</v>
      </c>
      <c r="K71" s="572" t="str">
        <f>+IF(OR(ISBLANK(F71),ISBLANK(J71)),"",IF(OR(AND(F71=1,J71=1),AND(F71=1,J71=2),AND(F71=1,J71=3)),"Deficiencia de control mayor (diseño y ejecución)",IF(OR(AND(F71=2,J71=2),AND(F71=3,J71=1),AND(F71=3,J71=2),AND(F71=2,J71=1)),"Deficiencia de control (diseño o ejecución)",IF(AND(F71=2,J71=3),"Oportunidad de mejora","Mantenimiento del control"))))</f>
        <v>Mantenimiento del control</v>
      </c>
      <c r="L71" s="457">
        <f>+IF(K71="",312,IF(K71="Deficiencia de control mayor (diseño y ejecución)",320,IF(K71="Deficiencia de control (diseño o ejecución)",340,IF(K71="Oportunidad de mejora",360,380))))</f>
        <v>380</v>
      </c>
      <c r="M71" s="662">
        <v>6.4569000000000001</v>
      </c>
      <c r="N71" s="860">
        <f>+L71+M71</f>
        <v>386.45690000000002</v>
      </c>
    </row>
    <row r="72" spans="2:14" ht="34.5" customHeight="1">
      <c r="B72" s="461"/>
      <c r="C72" s="853"/>
      <c r="D72" s="583"/>
      <c r="E72" s="647"/>
      <c r="F72" s="586"/>
      <c r="G72" s="68">
        <v>2</v>
      </c>
      <c r="H72" s="96" t="s">
        <v>799</v>
      </c>
      <c r="I72" s="668"/>
      <c r="J72" s="602"/>
      <c r="K72" s="573"/>
      <c r="L72" s="457"/>
      <c r="M72" s="662"/>
      <c r="N72" s="860"/>
    </row>
    <row r="73" spans="2:14" ht="34.5" customHeight="1">
      <c r="B73" s="461"/>
      <c r="C73" s="853"/>
      <c r="D73" s="583"/>
      <c r="E73" s="647"/>
      <c r="F73" s="586"/>
      <c r="G73" s="68">
        <v>3</v>
      </c>
      <c r="H73" s="96" t="s">
        <v>449</v>
      </c>
      <c r="I73" s="668"/>
      <c r="J73" s="602"/>
      <c r="K73" s="573"/>
      <c r="L73" s="457"/>
      <c r="M73" s="662"/>
      <c r="N73" s="860"/>
    </row>
    <row r="74" spans="2:14" ht="48.75" customHeight="1">
      <c r="B74" s="461"/>
      <c r="C74" s="853"/>
      <c r="D74" s="583"/>
      <c r="E74" s="647"/>
      <c r="F74" s="586"/>
      <c r="G74" s="68">
        <v>4</v>
      </c>
      <c r="H74" s="96" t="s">
        <v>450</v>
      </c>
      <c r="I74" s="668"/>
      <c r="J74" s="602"/>
      <c r="K74" s="573"/>
      <c r="L74" s="457"/>
      <c r="M74" s="662"/>
      <c r="N74" s="860"/>
    </row>
    <row r="75" spans="2:14" ht="34.5" customHeight="1">
      <c r="B75" s="461"/>
      <c r="C75" s="853"/>
      <c r="D75" s="583"/>
      <c r="E75" s="647"/>
      <c r="F75" s="586"/>
      <c r="G75" s="68">
        <v>5</v>
      </c>
      <c r="H75" s="96" t="s">
        <v>451</v>
      </c>
      <c r="I75" s="668"/>
      <c r="J75" s="602"/>
      <c r="K75" s="573"/>
      <c r="L75" s="457"/>
      <c r="M75" s="662"/>
      <c r="N75" s="860"/>
    </row>
    <row r="76" spans="2:14" ht="45" customHeight="1">
      <c r="B76" s="461"/>
      <c r="C76" s="853"/>
      <c r="D76" s="583"/>
      <c r="E76" s="647"/>
      <c r="F76" s="586"/>
      <c r="G76" s="68">
        <v>6</v>
      </c>
      <c r="H76" s="96" t="s">
        <v>452</v>
      </c>
      <c r="I76" s="668"/>
      <c r="J76" s="602"/>
      <c r="K76" s="573"/>
      <c r="L76" s="457"/>
      <c r="M76" s="662"/>
      <c r="N76" s="860"/>
    </row>
    <row r="77" spans="2:14" ht="49.5" customHeight="1">
      <c r="B77" s="461"/>
      <c r="C77" s="853"/>
      <c r="D77" s="583"/>
      <c r="E77" s="647"/>
      <c r="F77" s="586"/>
      <c r="G77" s="68">
        <v>7</v>
      </c>
      <c r="H77" s="96" t="s">
        <v>460</v>
      </c>
      <c r="I77" s="668"/>
      <c r="J77" s="602"/>
      <c r="K77" s="573"/>
      <c r="L77" s="457"/>
      <c r="M77" s="662"/>
      <c r="N77" s="860"/>
    </row>
    <row r="78" spans="2:14" ht="66.75" customHeight="1" thickBot="1">
      <c r="B78" s="462"/>
      <c r="C78" s="854"/>
      <c r="D78" s="584"/>
      <c r="E78" s="648"/>
      <c r="F78" s="587"/>
      <c r="G78" s="69">
        <v>8</v>
      </c>
      <c r="H78" s="97" t="s">
        <v>461</v>
      </c>
      <c r="I78" s="669"/>
      <c r="J78" s="603"/>
      <c r="K78" s="592"/>
      <c r="L78" s="457"/>
      <c r="M78" s="662"/>
      <c r="N78" s="860"/>
    </row>
    <row r="79" spans="2:14" ht="53.25" customHeight="1">
      <c r="B79" s="460" t="str">
        <f>+LEFT(C79,5)</f>
        <v xml:space="preserve">17.3 </v>
      </c>
      <c r="C79" s="846" t="s">
        <v>462</v>
      </c>
      <c r="D79" s="849" t="s">
        <v>286</v>
      </c>
      <c r="E79" s="623" t="s">
        <v>463</v>
      </c>
      <c r="F79" s="585">
        <v>3</v>
      </c>
      <c r="G79" s="70">
        <v>1</v>
      </c>
      <c r="H79" s="100" t="s">
        <v>464</v>
      </c>
      <c r="I79" s="862" t="s">
        <v>861</v>
      </c>
      <c r="J79" s="843">
        <v>3</v>
      </c>
      <c r="K79" s="572" t="str">
        <f>+IF(OR(ISBLANK(F79),ISBLANK(J79)),"",IF(OR(AND(F79=1,J79=1),AND(F79=1,J79=2),AND(F79=1,J79=3)),"Deficiencia de control mayor (diseño y ejecución)",IF(OR(AND(F79=2,J79=2),AND(F79=3,J79=1),AND(F79=3,J79=2),AND(F79=2,J79=1)),"Deficiencia de control (diseño o ejecución)",IF(AND(F79=2,J79=3),"Oportunidad de mejora","Mantenimiento del control"))))</f>
        <v>Mantenimiento del control</v>
      </c>
      <c r="L79" s="457">
        <f>+IF(K79="",312,IF(K79="Deficiencia de control mayor (diseño y ejecución)",320,IF(K79="Deficiencia de control (diseño o ejecución)",340,IF(K79="Oportunidad de mejora",360,380))))</f>
        <v>380</v>
      </c>
      <c r="M79" s="662">
        <v>6.5632000000000001</v>
      </c>
      <c r="N79" s="860">
        <f>+L79+M79</f>
        <v>386.56319999999999</v>
      </c>
    </row>
    <row r="80" spans="2:14" ht="48" customHeight="1">
      <c r="B80" s="461"/>
      <c r="C80" s="847"/>
      <c r="D80" s="850"/>
      <c r="E80" s="837"/>
      <c r="F80" s="586"/>
      <c r="G80" s="68">
        <v>2</v>
      </c>
      <c r="H80" s="96" t="s">
        <v>465</v>
      </c>
      <c r="I80" s="863"/>
      <c r="J80" s="844"/>
      <c r="K80" s="573"/>
      <c r="L80" s="457"/>
      <c r="M80" s="662"/>
      <c r="N80" s="860"/>
    </row>
    <row r="81" spans="2:14" ht="50.25" customHeight="1">
      <c r="B81" s="461"/>
      <c r="C81" s="847"/>
      <c r="D81" s="850"/>
      <c r="E81" s="837"/>
      <c r="F81" s="586"/>
      <c r="G81" s="68">
        <v>3</v>
      </c>
      <c r="H81" s="96" t="s">
        <v>800</v>
      </c>
      <c r="I81" s="863"/>
      <c r="J81" s="844"/>
      <c r="K81" s="573"/>
      <c r="L81" s="457"/>
      <c r="M81" s="662"/>
      <c r="N81" s="860"/>
    </row>
    <row r="82" spans="2:14" ht="42.75" customHeight="1">
      <c r="B82" s="461"/>
      <c r="C82" s="847"/>
      <c r="D82" s="850"/>
      <c r="E82" s="837"/>
      <c r="F82" s="586"/>
      <c r="G82" s="68">
        <v>4</v>
      </c>
      <c r="H82" s="272" t="s">
        <v>466</v>
      </c>
      <c r="I82" s="863"/>
      <c r="J82" s="844"/>
      <c r="K82" s="573"/>
      <c r="L82" s="457"/>
      <c r="M82" s="662"/>
      <c r="N82" s="860"/>
    </row>
    <row r="83" spans="2:14" ht="34.5" customHeight="1">
      <c r="B83" s="461"/>
      <c r="C83" s="847"/>
      <c r="D83" s="850"/>
      <c r="E83" s="837"/>
      <c r="F83" s="586"/>
      <c r="G83" s="68">
        <v>5</v>
      </c>
      <c r="H83" s="272" t="s">
        <v>467</v>
      </c>
      <c r="I83" s="863"/>
      <c r="J83" s="844"/>
      <c r="K83" s="573"/>
      <c r="L83" s="457"/>
      <c r="M83" s="662"/>
      <c r="N83" s="860"/>
    </row>
    <row r="84" spans="2:14" ht="22.5" customHeight="1">
      <c r="B84" s="461"/>
      <c r="C84" s="847"/>
      <c r="D84" s="850"/>
      <c r="E84" s="837"/>
      <c r="F84" s="586"/>
      <c r="G84" s="68">
        <v>6</v>
      </c>
      <c r="H84" s="96"/>
      <c r="I84" s="863"/>
      <c r="J84" s="844"/>
      <c r="K84" s="573"/>
      <c r="L84" s="457"/>
      <c r="M84" s="662"/>
      <c r="N84" s="860"/>
    </row>
    <row r="85" spans="2:14" ht="22.5" customHeight="1">
      <c r="B85" s="461"/>
      <c r="C85" s="847"/>
      <c r="D85" s="850"/>
      <c r="E85" s="837"/>
      <c r="F85" s="586"/>
      <c r="G85" s="68">
        <v>7</v>
      </c>
      <c r="H85" s="96"/>
      <c r="I85" s="863"/>
      <c r="J85" s="844"/>
      <c r="K85" s="573"/>
      <c r="L85" s="457"/>
      <c r="M85" s="662"/>
      <c r="N85" s="860"/>
    </row>
    <row r="86" spans="2:14" ht="22.5" customHeight="1">
      <c r="B86" s="462"/>
      <c r="C86" s="848"/>
      <c r="D86" s="851"/>
      <c r="E86" s="838"/>
      <c r="F86" s="587"/>
      <c r="G86" s="69">
        <v>8</v>
      </c>
      <c r="H86" s="97"/>
      <c r="I86" s="864"/>
      <c r="J86" s="845"/>
      <c r="K86" s="592"/>
      <c r="L86" s="457"/>
      <c r="M86" s="662"/>
      <c r="N86" s="860"/>
    </row>
    <row r="87" spans="2:14" ht="48.75" customHeight="1">
      <c r="B87" s="460" t="str">
        <f>+LEFT(C87,5)</f>
        <v xml:space="preserve">17.4 </v>
      </c>
      <c r="C87" s="731" t="s">
        <v>468</v>
      </c>
      <c r="D87" s="582" t="s">
        <v>286</v>
      </c>
      <c r="E87" s="640" t="s">
        <v>469</v>
      </c>
      <c r="F87" s="585">
        <v>3</v>
      </c>
      <c r="G87" s="70">
        <v>1</v>
      </c>
      <c r="H87" s="100" t="s">
        <v>470</v>
      </c>
      <c r="I87" s="670" t="s">
        <v>862</v>
      </c>
      <c r="J87" s="601">
        <v>3</v>
      </c>
      <c r="K87" s="572" t="str">
        <f>+IF(OR(ISBLANK(F87),ISBLANK(J87)),"",IF(OR(AND(F87=1,J87=1),AND(F87=1,J87=2),AND(F87=1,J87=3)),"Deficiencia de control mayor (diseño y ejecución)",IF(OR(AND(F87=2,J87=2),AND(F87=3,J87=1),AND(F87=3,J87=2),AND(F87=2,J87=1)),"Deficiencia de control (diseño o ejecución)",IF(AND(F87=2,J87=3),"Oportunidad de mejora","Mantenimiento del control"))))</f>
        <v>Mantenimiento del control</v>
      </c>
      <c r="L87" s="457">
        <f>+IF(K87="",312,IF(K87="Deficiencia de control mayor (diseño y ejecución)",320,IF(K87="Deficiencia de control (diseño o ejecución)",340,IF(K87="Oportunidad de mejora",360,380))))</f>
        <v>380</v>
      </c>
      <c r="M87" s="662">
        <v>6.7854000000000001</v>
      </c>
      <c r="N87" s="860">
        <f>+L87+M87</f>
        <v>386.78539999999998</v>
      </c>
    </row>
    <row r="88" spans="2:14" ht="32.25" customHeight="1">
      <c r="B88" s="461"/>
      <c r="C88" s="701"/>
      <c r="D88" s="583"/>
      <c r="E88" s="647"/>
      <c r="F88" s="586"/>
      <c r="G88" s="68">
        <v>2</v>
      </c>
      <c r="H88" s="96" t="s">
        <v>471</v>
      </c>
      <c r="I88" s="668"/>
      <c r="J88" s="602"/>
      <c r="K88" s="573"/>
      <c r="L88" s="457"/>
      <c r="M88" s="662"/>
      <c r="N88" s="860"/>
    </row>
    <row r="89" spans="2:14" ht="38.25" customHeight="1">
      <c r="B89" s="461"/>
      <c r="C89" s="701"/>
      <c r="D89" s="583"/>
      <c r="E89" s="647"/>
      <c r="F89" s="586"/>
      <c r="G89" s="68">
        <v>3</v>
      </c>
      <c r="H89" s="96" t="s">
        <v>472</v>
      </c>
      <c r="I89" s="668"/>
      <c r="J89" s="602"/>
      <c r="K89" s="573"/>
      <c r="L89" s="457"/>
      <c r="M89" s="662"/>
      <c r="N89" s="860"/>
    </row>
    <row r="90" spans="2:14" ht="32.25" customHeight="1">
      <c r="B90" s="461"/>
      <c r="C90" s="701"/>
      <c r="D90" s="583"/>
      <c r="E90" s="647"/>
      <c r="F90" s="586"/>
      <c r="G90" s="68">
        <v>4</v>
      </c>
      <c r="H90" s="96" t="s">
        <v>441</v>
      </c>
      <c r="I90" s="668"/>
      <c r="J90" s="602"/>
      <c r="K90" s="573"/>
      <c r="L90" s="457"/>
      <c r="M90" s="662"/>
      <c r="N90" s="860"/>
    </row>
    <row r="91" spans="2:14" ht="33" customHeight="1">
      <c r="B91" s="461"/>
      <c r="C91" s="701"/>
      <c r="D91" s="583"/>
      <c r="E91" s="647"/>
      <c r="F91" s="586"/>
      <c r="G91" s="68">
        <v>5</v>
      </c>
      <c r="H91" s="96" t="s">
        <v>473</v>
      </c>
      <c r="I91" s="668"/>
      <c r="J91" s="602"/>
      <c r="K91" s="573"/>
      <c r="L91" s="457"/>
      <c r="M91" s="662"/>
      <c r="N91" s="860"/>
    </row>
    <row r="92" spans="2:14" ht="22.5" customHeight="1">
      <c r="B92" s="461"/>
      <c r="C92" s="701"/>
      <c r="D92" s="583"/>
      <c r="E92" s="647"/>
      <c r="F92" s="586"/>
      <c r="G92" s="68">
        <v>6</v>
      </c>
      <c r="H92" s="96"/>
      <c r="I92" s="668"/>
      <c r="J92" s="602"/>
      <c r="K92" s="573"/>
      <c r="L92" s="457"/>
      <c r="M92" s="662"/>
      <c r="N92" s="860"/>
    </row>
    <row r="93" spans="2:14" ht="22.5" customHeight="1">
      <c r="B93" s="461"/>
      <c r="C93" s="701"/>
      <c r="D93" s="583"/>
      <c r="E93" s="647"/>
      <c r="F93" s="586"/>
      <c r="G93" s="68">
        <v>7</v>
      </c>
      <c r="H93" s="96"/>
      <c r="I93" s="668"/>
      <c r="J93" s="602"/>
      <c r="K93" s="573"/>
      <c r="L93" s="457"/>
      <c r="M93" s="662"/>
      <c r="N93" s="860"/>
    </row>
    <row r="94" spans="2:14" ht="22.5" customHeight="1" thickBot="1">
      <c r="B94" s="462"/>
      <c r="C94" s="702"/>
      <c r="D94" s="584"/>
      <c r="E94" s="648"/>
      <c r="F94" s="587"/>
      <c r="G94" s="69">
        <v>8</v>
      </c>
      <c r="H94" s="97"/>
      <c r="I94" s="669"/>
      <c r="J94" s="603"/>
      <c r="K94" s="592"/>
      <c r="L94" s="457"/>
      <c r="M94" s="662"/>
      <c r="N94" s="860"/>
    </row>
    <row r="95" spans="2:14" ht="82.5" customHeight="1">
      <c r="B95" s="460" t="str">
        <f>+LEFT(C95,5)</f>
        <v xml:space="preserve">17.5 </v>
      </c>
      <c r="C95" s="731" t="s">
        <v>474</v>
      </c>
      <c r="D95" s="582" t="s">
        <v>286</v>
      </c>
      <c r="E95" s="640" t="s">
        <v>863</v>
      </c>
      <c r="F95" s="585">
        <v>3</v>
      </c>
      <c r="G95" s="70">
        <v>1</v>
      </c>
      <c r="H95" s="100" t="s">
        <v>475</v>
      </c>
      <c r="I95" s="640" t="s">
        <v>863</v>
      </c>
      <c r="J95" s="601">
        <v>3</v>
      </c>
      <c r="K95" s="572" t="str">
        <f>+IF(OR(ISBLANK(F95),ISBLANK(J95)),"",IF(OR(AND(F95=1,J95=1),AND(F95=1,J95=2),AND(F95=1,J95=3)),"Deficiencia de control mayor (diseño y ejecución)",IF(OR(AND(F95=2,J95=2),AND(F95=3,J95=1),AND(F95=3,J95=2),AND(F95=2,J95=1)),"Deficiencia de control (diseño o ejecución)",IF(AND(F95=2,J95=3),"Oportunidad de mejora","Mantenimiento del control"))))</f>
        <v>Mantenimiento del control</v>
      </c>
      <c r="L95" s="457">
        <f>+IF(K95="",312,IF(K95="Deficiencia de control mayor (diseño y ejecución)",320,IF(K95="Deficiencia de control (diseño o ejecución)",340,IF(K95="Oportunidad de mejora",360,380))))</f>
        <v>380</v>
      </c>
      <c r="M95" s="662">
        <v>6.8745000000000003</v>
      </c>
      <c r="N95" s="860">
        <f>+L95+M95</f>
        <v>386.87450000000001</v>
      </c>
    </row>
    <row r="96" spans="2:14" ht="66" customHeight="1">
      <c r="B96" s="461"/>
      <c r="C96" s="701"/>
      <c r="D96" s="583"/>
      <c r="E96" s="647"/>
      <c r="F96" s="586"/>
      <c r="G96" s="68">
        <v>2</v>
      </c>
      <c r="H96" s="96" t="s">
        <v>476</v>
      </c>
      <c r="I96" s="647"/>
      <c r="J96" s="602"/>
      <c r="K96" s="573"/>
      <c r="L96" s="457"/>
      <c r="M96" s="662"/>
      <c r="N96" s="860"/>
    </row>
    <row r="97" spans="2:14" ht="66" customHeight="1">
      <c r="B97" s="461"/>
      <c r="C97" s="701"/>
      <c r="D97" s="583"/>
      <c r="E97" s="647"/>
      <c r="F97" s="586"/>
      <c r="G97" s="68">
        <v>3</v>
      </c>
      <c r="H97" s="96" t="s">
        <v>477</v>
      </c>
      <c r="I97" s="647"/>
      <c r="J97" s="602"/>
      <c r="K97" s="573"/>
      <c r="L97" s="457"/>
      <c r="M97" s="662"/>
      <c r="N97" s="860"/>
    </row>
    <row r="98" spans="2:14" ht="82.5" customHeight="1">
      <c r="B98" s="461"/>
      <c r="C98" s="701"/>
      <c r="D98" s="583"/>
      <c r="E98" s="647"/>
      <c r="F98" s="586"/>
      <c r="G98" s="68">
        <v>4</v>
      </c>
      <c r="I98" s="647"/>
      <c r="J98" s="602"/>
      <c r="K98" s="573"/>
      <c r="L98" s="457"/>
      <c r="M98" s="662"/>
      <c r="N98" s="860"/>
    </row>
    <row r="99" spans="2:14" ht="16.5">
      <c r="B99" s="461"/>
      <c r="C99" s="701"/>
      <c r="D99" s="583"/>
      <c r="E99" s="647"/>
      <c r="F99" s="586"/>
      <c r="G99" s="68">
        <v>5</v>
      </c>
      <c r="H99" s="96"/>
      <c r="I99" s="647"/>
      <c r="J99" s="602"/>
      <c r="K99" s="573"/>
      <c r="L99" s="457"/>
      <c r="M99" s="662"/>
      <c r="N99" s="860"/>
    </row>
    <row r="100" spans="2:14" ht="22.5" customHeight="1">
      <c r="B100" s="461"/>
      <c r="C100" s="701"/>
      <c r="D100" s="583"/>
      <c r="E100" s="647"/>
      <c r="F100" s="586"/>
      <c r="G100" s="68">
        <v>6</v>
      </c>
      <c r="H100" s="96"/>
      <c r="I100" s="647"/>
      <c r="J100" s="602"/>
      <c r="K100" s="573"/>
      <c r="L100" s="457"/>
      <c r="M100" s="662"/>
      <c r="N100" s="860"/>
    </row>
    <row r="101" spans="2:14" ht="22.5" customHeight="1">
      <c r="B101" s="461"/>
      <c r="C101" s="701"/>
      <c r="D101" s="583"/>
      <c r="E101" s="647"/>
      <c r="F101" s="586"/>
      <c r="G101" s="68">
        <v>7</v>
      </c>
      <c r="H101" s="96"/>
      <c r="I101" s="647"/>
      <c r="J101" s="602"/>
      <c r="K101" s="573"/>
      <c r="L101" s="457"/>
      <c r="M101" s="662"/>
      <c r="N101" s="860"/>
    </row>
    <row r="102" spans="2:14" ht="22.5" customHeight="1" thickBot="1">
      <c r="B102" s="462"/>
      <c r="C102" s="702"/>
      <c r="D102" s="584"/>
      <c r="E102" s="648"/>
      <c r="F102" s="587"/>
      <c r="G102" s="69">
        <v>8</v>
      </c>
      <c r="H102" s="97"/>
      <c r="I102" s="648"/>
      <c r="J102" s="603"/>
      <c r="K102" s="592"/>
      <c r="L102" s="457"/>
      <c r="M102" s="662"/>
      <c r="N102" s="860"/>
    </row>
    <row r="103" spans="2:14" ht="39" customHeight="1">
      <c r="B103" s="460" t="str">
        <f>+LEFT(C103,5)</f>
        <v xml:space="preserve">17.6 </v>
      </c>
      <c r="C103" s="731" t="s">
        <v>478</v>
      </c>
      <c r="D103" s="582" t="s">
        <v>479</v>
      </c>
      <c r="E103" s="640" t="s">
        <v>864</v>
      </c>
      <c r="F103" s="585">
        <v>3</v>
      </c>
      <c r="G103" s="70">
        <v>1</v>
      </c>
      <c r="H103" s="100" t="s">
        <v>480</v>
      </c>
      <c r="I103" s="670" t="s">
        <v>864</v>
      </c>
      <c r="J103" s="601">
        <v>3</v>
      </c>
      <c r="K103" s="572" t="str">
        <f>+IF(OR(ISBLANK(F103),ISBLANK(J103)),"",IF(OR(AND(F103=1,J103=1),AND(F103=1,J103=2),AND(F103=1,J103=3)),"Deficiencia de control mayor (diseño y ejecución)",IF(OR(AND(F103=2,J103=2),AND(F103=3,J103=1),AND(F103=3,J103=2),AND(F103=2,J103=1)),"Deficiencia de control (diseño o ejecución)",IF(AND(F103=2,J103=3),"Oportunidad de mejora","Mantenimiento del control"))))</f>
        <v>Mantenimiento del control</v>
      </c>
      <c r="L103" s="457">
        <f>+IF(K103="",312,IF(K103="Deficiencia de control mayor (diseño y ejecución)",320,IF(K103="Deficiencia de control (diseño o ejecución)",340,IF(K103="Oportunidad de mejora",360,380))))</f>
        <v>380</v>
      </c>
      <c r="M103" s="662">
        <v>6.9874000000000001</v>
      </c>
      <c r="N103" s="860">
        <f>+L103+M103</f>
        <v>386.98739999999998</v>
      </c>
    </row>
    <row r="104" spans="2:14" ht="67.5" customHeight="1">
      <c r="B104" s="461"/>
      <c r="C104" s="701"/>
      <c r="D104" s="583"/>
      <c r="E104" s="647"/>
      <c r="F104" s="586"/>
      <c r="G104" s="68">
        <v>2</v>
      </c>
      <c r="H104" s="96" t="s">
        <v>481</v>
      </c>
      <c r="I104" s="668"/>
      <c r="J104" s="602"/>
      <c r="K104" s="573"/>
      <c r="L104" s="457"/>
      <c r="M104" s="662"/>
      <c r="N104" s="860"/>
    </row>
    <row r="105" spans="2:14" ht="22.5" customHeight="1">
      <c r="B105" s="461"/>
      <c r="C105" s="701"/>
      <c r="D105" s="583"/>
      <c r="E105" s="647"/>
      <c r="F105" s="586"/>
      <c r="G105" s="68">
        <v>3</v>
      </c>
      <c r="H105" s="96"/>
      <c r="I105" s="668"/>
      <c r="J105" s="602"/>
      <c r="K105" s="573"/>
      <c r="L105" s="457"/>
      <c r="M105" s="662"/>
      <c r="N105" s="860"/>
    </row>
    <row r="106" spans="2:14" ht="22.5" customHeight="1">
      <c r="B106" s="461"/>
      <c r="C106" s="701"/>
      <c r="D106" s="583"/>
      <c r="E106" s="647"/>
      <c r="F106" s="586"/>
      <c r="G106" s="68">
        <v>4</v>
      </c>
      <c r="H106" s="96"/>
      <c r="I106" s="668"/>
      <c r="J106" s="602"/>
      <c r="K106" s="573"/>
      <c r="L106" s="457"/>
      <c r="M106" s="662"/>
      <c r="N106" s="860"/>
    </row>
    <row r="107" spans="2:14" ht="22.5" customHeight="1">
      <c r="B107" s="461"/>
      <c r="C107" s="701"/>
      <c r="D107" s="583"/>
      <c r="E107" s="647"/>
      <c r="F107" s="586"/>
      <c r="G107" s="68">
        <v>5</v>
      </c>
      <c r="H107" s="96"/>
      <c r="I107" s="668"/>
      <c r="J107" s="602"/>
      <c r="K107" s="573"/>
      <c r="L107" s="457"/>
      <c r="M107" s="662"/>
      <c r="N107" s="860"/>
    </row>
    <row r="108" spans="2:14" ht="22.5" customHeight="1">
      <c r="B108" s="461"/>
      <c r="C108" s="701"/>
      <c r="D108" s="583"/>
      <c r="E108" s="647"/>
      <c r="F108" s="586"/>
      <c r="G108" s="68">
        <v>6</v>
      </c>
      <c r="H108" s="96"/>
      <c r="I108" s="668"/>
      <c r="J108" s="602"/>
      <c r="K108" s="573"/>
      <c r="L108" s="457"/>
      <c r="M108" s="662"/>
      <c r="N108" s="860"/>
    </row>
    <row r="109" spans="2:14" ht="22.5" customHeight="1">
      <c r="B109" s="461"/>
      <c r="C109" s="701"/>
      <c r="D109" s="583"/>
      <c r="E109" s="647"/>
      <c r="F109" s="586"/>
      <c r="G109" s="68">
        <v>7</v>
      </c>
      <c r="H109" s="96"/>
      <c r="I109" s="668"/>
      <c r="J109" s="602"/>
      <c r="K109" s="573"/>
      <c r="L109" s="457"/>
      <c r="M109" s="662"/>
      <c r="N109" s="860"/>
    </row>
    <row r="110" spans="2:14" ht="22.5" customHeight="1" thickBot="1">
      <c r="B110" s="462"/>
      <c r="C110" s="702"/>
      <c r="D110" s="584"/>
      <c r="E110" s="648"/>
      <c r="F110" s="587"/>
      <c r="G110" s="69">
        <v>8</v>
      </c>
      <c r="H110" s="97"/>
      <c r="I110" s="669"/>
      <c r="J110" s="603"/>
      <c r="K110" s="592"/>
      <c r="L110" s="457"/>
      <c r="M110" s="662"/>
      <c r="N110" s="860"/>
    </row>
    <row r="111" spans="2:14" ht="51.75" customHeight="1">
      <c r="B111" s="460" t="str">
        <f>+LEFT(C111,5)</f>
        <v xml:space="preserve">17.7 </v>
      </c>
      <c r="C111" s="673" t="s">
        <v>482</v>
      </c>
      <c r="D111" s="582" t="s">
        <v>483</v>
      </c>
      <c r="E111" s="670" t="s">
        <v>832</v>
      </c>
      <c r="F111" s="585">
        <v>3</v>
      </c>
      <c r="G111" s="70">
        <v>1</v>
      </c>
      <c r="H111" s="100" t="s">
        <v>484</v>
      </c>
      <c r="I111" s="670" t="s">
        <v>833</v>
      </c>
      <c r="J111" s="601">
        <v>3</v>
      </c>
      <c r="K111" s="803" t="str">
        <f>+IF(OR(ISBLANK(F111),ISBLANK(J111)),"",IF(OR(AND(F111=1,J111=1),AND(F111=1,J111=2),AND(F111=1,J111=3)),"Deficiencia de control mayor (diseño y ejecución)",IF(OR(AND(F111=2,J111=2),AND(F111=3,J111=1),AND(F111=3,J111=2),AND(F111=2,J111=1)),"Deficiencia de control (diseño o ejecución)",IF(AND(F111=2,J111=3),"Oportunidad de mejora","Mantenimiento del control"))))</f>
        <v>Mantenimiento del control</v>
      </c>
      <c r="L111" s="457">
        <f>+IF(K111="",312,IF(K111="Deficiencia de control mayor (diseño y ejecución)",320,IF(K111="Deficiencia de control (diseño o ejecución)",340,IF(K111="Oportunidad de mejora",360,380))))</f>
        <v>380</v>
      </c>
      <c r="M111" s="662">
        <v>6.9874499999999999</v>
      </c>
      <c r="N111" s="860">
        <f>+L111+M111</f>
        <v>386.98745000000002</v>
      </c>
    </row>
    <row r="112" spans="2:14" ht="35.25" customHeight="1">
      <c r="B112" s="461"/>
      <c r="C112" s="674"/>
      <c r="D112" s="583"/>
      <c r="E112" s="668"/>
      <c r="F112" s="586"/>
      <c r="G112" s="68">
        <v>2</v>
      </c>
      <c r="H112" s="96" t="s">
        <v>485</v>
      </c>
      <c r="I112" s="668"/>
      <c r="J112" s="602"/>
      <c r="K112" s="804"/>
      <c r="L112" s="457"/>
      <c r="M112" s="662"/>
      <c r="N112" s="860"/>
    </row>
    <row r="113" spans="2:14" ht="32.25" customHeight="1">
      <c r="B113" s="461"/>
      <c r="C113" s="674"/>
      <c r="D113" s="583"/>
      <c r="E113" s="668"/>
      <c r="F113" s="586"/>
      <c r="G113" s="68">
        <v>3</v>
      </c>
      <c r="H113" s="96" t="s">
        <v>486</v>
      </c>
      <c r="I113" s="668"/>
      <c r="J113" s="602"/>
      <c r="K113" s="804"/>
      <c r="L113" s="457"/>
      <c r="M113" s="662"/>
      <c r="N113" s="860"/>
    </row>
    <row r="114" spans="2:14" ht="22.5" customHeight="1">
      <c r="B114" s="461"/>
      <c r="C114" s="674"/>
      <c r="D114" s="583"/>
      <c r="E114" s="668"/>
      <c r="F114" s="586"/>
      <c r="G114" s="68">
        <v>4</v>
      </c>
      <c r="H114" s="96"/>
      <c r="I114" s="668"/>
      <c r="J114" s="602"/>
      <c r="K114" s="804"/>
      <c r="L114" s="457"/>
      <c r="M114" s="662"/>
      <c r="N114" s="860"/>
    </row>
    <row r="115" spans="2:14" ht="22.5" customHeight="1">
      <c r="B115" s="461"/>
      <c r="C115" s="674"/>
      <c r="D115" s="583"/>
      <c r="E115" s="668"/>
      <c r="F115" s="586"/>
      <c r="G115" s="68">
        <v>5</v>
      </c>
      <c r="H115" s="96"/>
      <c r="I115" s="668"/>
      <c r="J115" s="602"/>
      <c r="K115" s="804"/>
      <c r="L115" s="457"/>
      <c r="M115" s="662"/>
      <c r="N115" s="860"/>
    </row>
    <row r="116" spans="2:14" ht="22.5" customHeight="1">
      <c r="B116" s="461"/>
      <c r="C116" s="674"/>
      <c r="D116" s="583"/>
      <c r="E116" s="668"/>
      <c r="F116" s="586"/>
      <c r="G116" s="68">
        <v>6</v>
      </c>
      <c r="H116" s="96"/>
      <c r="I116" s="668"/>
      <c r="J116" s="602"/>
      <c r="K116" s="804"/>
      <c r="L116" s="457"/>
      <c r="M116" s="662"/>
      <c r="N116" s="860"/>
    </row>
    <row r="117" spans="2:14" ht="22.5" customHeight="1">
      <c r="B117" s="461"/>
      <c r="C117" s="674"/>
      <c r="D117" s="583"/>
      <c r="E117" s="668"/>
      <c r="F117" s="586"/>
      <c r="G117" s="68">
        <v>7</v>
      </c>
      <c r="H117" s="96"/>
      <c r="I117" s="668"/>
      <c r="J117" s="602"/>
      <c r="K117" s="804"/>
      <c r="L117" s="457"/>
      <c r="M117" s="662"/>
      <c r="N117" s="860"/>
    </row>
    <row r="118" spans="2:14" ht="22.5" customHeight="1" thickBot="1">
      <c r="B118" s="462"/>
      <c r="C118" s="675"/>
      <c r="D118" s="584"/>
      <c r="E118" s="669"/>
      <c r="F118" s="587"/>
      <c r="G118" s="69">
        <v>8</v>
      </c>
      <c r="H118" s="97"/>
      <c r="I118" s="669"/>
      <c r="J118" s="603"/>
      <c r="K118" s="805"/>
      <c r="L118" s="457"/>
      <c r="M118" s="662"/>
      <c r="N118" s="860"/>
    </row>
    <row r="119" spans="2:14" ht="51.75" customHeight="1">
      <c r="B119" s="460" t="str">
        <f>+LEFT(C119,5)</f>
        <v xml:space="preserve">17.8 </v>
      </c>
      <c r="C119" s="806" t="s">
        <v>487</v>
      </c>
      <c r="D119" s="582" t="s">
        <v>483</v>
      </c>
      <c r="E119" s="650" t="s">
        <v>913</v>
      </c>
      <c r="F119" s="585">
        <v>3</v>
      </c>
      <c r="G119" s="67">
        <v>1</v>
      </c>
      <c r="H119" s="101" t="s">
        <v>488</v>
      </c>
      <c r="I119" s="650" t="s">
        <v>865</v>
      </c>
      <c r="J119" s="601">
        <v>3</v>
      </c>
      <c r="K119" s="803" t="str">
        <f>+IF(OR(ISBLANK(F119),ISBLANK(J119)),"",IF(OR(AND(F119=1,J119=1),AND(F119=1,J119=2),AND(F119=1,J119=3)),"Deficiencia de control mayor (diseño y ejecución)",IF(OR(AND(F119=2,J119=2),AND(F119=3,J119=1),AND(F119=3,J119=2),AND(F119=2,J119=1)),"Deficiencia de control (diseño o ejecución)",IF(AND(F119=2,J119=3),"Oportunidad de mejora","Mantenimiento del control"))))</f>
        <v>Mantenimiento del control</v>
      </c>
      <c r="L119" s="457">
        <f>+IF(K119="",312,IF(K119="Deficiencia de control mayor (diseño y ejecución)",320,IF(K119="Deficiencia de control (diseño o ejecución)",340,IF(K119="Oportunidad de mejora",360,380))))</f>
        <v>380</v>
      </c>
      <c r="M119" s="662">
        <v>6.9874559999999999</v>
      </c>
      <c r="N119" s="860">
        <f>+L119+M119</f>
        <v>386.98745600000001</v>
      </c>
    </row>
    <row r="120" spans="2:14" ht="67.5" customHeight="1">
      <c r="B120" s="461"/>
      <c r="C120" s="807"/>
      <c r="D120" s="583"/>
      <c r="E120" s="651"/>
      <c r="F120" s="586"/>
      <c r="G120" s="68">
        <v>2</v>
      </c>
      <c r="H120" s="96" t="s">
        <v>801</v>
      </c>
      <c r="I120" s="651"/>
      <c r="J120" s="602"/>
      <c r="K120" s="804"/>
      <c r="L120" s="457"/>
      <c r="M120" s="662"/>
      <c r="N120" s="860"/>
    </row>
    <row r="121" spans="2:14" ht="65.25" customHeight="1">
      <c r="B121" s="461"/>
      <c r="C121" s="807"/>
      <c r="D121" s="583"/>
      <c r="E121" s="651"/>
      <c r="F121" s="586"/>
      <c r="G121" s="68">
        <v>3</v>
      </c>
      <c r="H121" s="96" t="s">
        <v>489</v>
      </c>
      <c r="I121" s="651"/>
      <c r="J121" s="602"/>
      <c r="K121" s="804"/>
      <c r="L121" s="457"/>
      <c r="M121" s="662"/>
      <c r="N121" s="860"/>
    </row>
    <row r="122" spans="2:14" ht="22.5" customHeight="1">
      <c r="B122" s="461"/>
      <c r="C122" s="807"/>
      <c r="D122" s="583"/>
      <c r="E122" s="651"/>
      <c r="F122" s="586"/>
      <c r="G122" s="68">
        <v>4</v>
      </c>
      <c r="H122" s="96"/>
      <c r="I122" s="651"/>
      <c r="J122" s="602"/>
      <c r="K122" s="804"/>
      <c r="L122" s="457"/>
      <c r="M122" s="662"/>
      <c r="N122" s="860"/>
    </row>
    <row r="123" spans="2:14" ht="22.5" customHeight="1">
      <c r="B123" s="461"/>
      <c r="C123" s="807"/>
      <c r="D123" s="583"/>
      <c r="E123" s="651"/>
      <c r="F123" s="586"/>
      <c r="G123" s="68">
        <v>5</v>
      </c>
      <c r="H123" s="96"/>
      <c r="I123" s="651"/>
      <c r="J123" s="602"/>
      <c r="K123" s="804"/>
      <c r="L123" s="457"/>
      <c r="M123" s="662"/>
      <c r="N123" s="860"/>
    </row>
    <row r="124" spans="2:14" ht="22.5" customHeight="1">
      <c r="B124" s="461"/>
      <c r="C124" s="807"/>
      <c r="D124" s="583"/>
      <c r="E124" s="651"/>
      <c r="F124" s="586"/>
      <c r="G124" s="68">
        <v>6</v>
      </c>
      <c r="H124" s="96"/>
      <c r="I124" s="651"/>
      <c r="J124" s="602"/>
      <c r="K124" s="804"/>
      <c r="L124" s="457"/>
      <c r="M124" s="662"/>
      <c r="N124" s="860"/>
    </row>
    <row r="125" spans="2:14" ht="22.5" customHeight="1">
      <c r="B125" s="461"/>
      <c r="C125" s="807"/>
      <c r="D125" s="583"/>
      <c r="E125" s="651"/>
      <c r="F125" s="586"/>
      <c r="G125" s="68">
        <v>7</v>
      </c>
      <c r="H125" s="96"/>
      <c r="I125" s="651"/>
      <c r="J125" s="602"/>
      <c r="K125" s="804"/>
      <c r="L125" s="457"/>
      <c r="M125" s="662"/>
      <c r="N125" s="860"/>
    </row>
    <row r="126" spans="2:14" ht="22.5" customHeight="1" thickBot="1">
      <c r="B126" s="462"/>
      <c r="C126" s="808"/>
      <c r="D126" s="584"/>
      <c r="E126" s="652"/>
      <c r="F126" s="587"/>
      <c r="G126" s="69">
        <v>8</v>
      </c>
      <c r="H126" s="97"/>
      <c r="I126" s="652"/>
      <c r="J126" s="603"/>
      <c r="K126" s="805"/>
      <c r="L126" s="457"/>
      <c r="M126" s="662"/>
      <c r="N126" s="860"/>
    </row>
    <row r="127" spans="2:14" ht="39.75" customHeight="1">
      <c r="B127" s="460" t="str">
        <f>+LEFT(C127,5)</f>
        <v xml:space="preserve">17.9 </v>
      </c>
      <c r="C127" s="731" t="s">
        <v>490</v>
      </c>
      <c r="D127" s="582" t="s">
        <v>483</v>
      </c>
      <c r="E127" s="818" t="s">
        <v>862</v>
      </c>
      <c r="F127" s="821">
        <v>3</v>
      </c>
      <c r="G127" s="273">
        <v>1</v>
      </c>
      <c r="H127" s="274" t="s">
        <v>802</v>
      </c>
      <c r="I127" s="818" t="s">
        <v>866</v>
      </c>
      <c r="J127" s="824">
        <v>3</v>
      </c>
      <c r="K127" s="811" t="str">
        <f>+IF(OR(ISBLANK(F127),ISBLANK(J127)),"",IF(OR(AND(F127=1,J127=1),AND(F127=1,J127=2),AND(F127=1,J127=3)),"Deficiencia de control mayor (diseño y ejecución)",IF(OR(AND(F127=2,J127=2),AND(F127=3,J127=1),AND(F127=3,J127=2),AND(F127=2,J127=1)),"Deficiencia de control (diseño o ejecución)",IF(AND(F127=2,J127=3),"Oportunidad de mejora","Mantenimiento del control"))))</f>
        <v>Mantenimiento del control</v>
      </c>
      <c r="L127" s="457">
        <f>+IF(K127="",312,IF(K127="Deficiencia de control mayor (diseño y ejecución)",320,IF(K127="Deficiencia de control (diseño o ejecución)",340,IF(K127="Oportunidad de mejora",360,380))))</f>
        <v>380</v>
      </c>
      <c r="M127" s="662">
        <v>7.0122999999999998</v>
      </c>
      <c r="N127" s="860">
        <f>+L127+M127</f>
        <v>387.01229999999998</v>
      </c>
    </row>
    <row r="128" spans="2:14" ht="39.75" customHeight="1">
      <c r="B128" s="461"/>
      <c r="C128" s="701"/>
      <c r="D128" s="583"/>
      <c r="E128" s="819"/>
      <c r="F128" s="822"/>
      <c r="G128" s="275">
        <v>2</v>
      </c>
      <c r="H128" s="276" t="s">
        <v>471</v>
      </c>
      <c r="I128" s="819"/>
      <c r="J128" s="825"/>
      <c r="K128" s="812"/>
      <c r="L128" s="457"/>
      <c r="M128" s="662"/>
      <c r="N128" s="860"/>
    </row>
    <row r="129" spans="2:14" ht="39.75" customHeight="1">
      <c r="B129" s="461"/>
      <c r="C129" s="701"/>
      <c r="D129" s="583"/>
      <c r="E129" s="819"/>
      <c r="F129" s="822"/>
      <c r="G129" s="275">
        <v>3</v>
      </c>
      <c r="H129" s="276" t="s">
        <v>472</v>
      </c>
      <c r="I129" s="819"/>
      <c r="J129" s="825"/>
      <c r="K129" s="812"/>
      <c r="L129" s="457"/>
      <c r="M129" s="662"/>
      <c r="N129" s="860"/>
    </row>
    <row r="130" spans="2:14" ht="39.75" customHeight="1">
      <c r="B130" s="461"/>
      <c r="C130" s="701"/>
      <c r="D130" s="583"/>
      <c r="E130" s="819"/>
      <c r="F130" s="822"/>
      <c r="G130" s="275">
        <v>4</v>
      </c>
      <c r="H130" s="276" t="s">
        <v>441</v>
      </c>
      <c r="I130" s="819"/>
      <c r="J130" s="825"/>
      <c r="K130" s="812"/>
      <c r="L130" s="457"/>
      <c r="M130" s="662"/>
      <c r="N130" s="860"/>
    </row>
    <row r="131" spans="2:14" ht="39.75" customHeight="1">
      <c r="B131" s="461"/>
      <c r="C131" s="701"/>
      <c r="D131" s="583"/>
      <c r="E131" s="819"/>
      <c r="F131" s="822"/>
      <c r="G131" s="275">
        <v>5</v>
      </c>
      <c r="H131" s="276" t="s">
        <v>473</v>
      </c>
      <c r="I131" s="819"/>
      <c r="J131" s="825"/>
      <c r="K131" s="812"/>
      <c r="L131" s="457"/>
      <c r="M131" s="662"/>
      <c r="N131" s="860"/>
    </row>
    <row r="132" spans="2:14" ht="39.75" customHeight="1">
      <c r="B132" s="461"/>
      <c r="C132" s="701"/>
      <c r="D132" s="583"/>
      <c r="E132" s="819"/>
      <c r="F132" s="822"/>
      <c r="G132" s="275">
        <v>6</v>
      </c>
      <c r="H132" s="272" t="s">
        <v>466</v>
      </c>
      <c r="I132" s="819"/>
      <c r="J132" s="825"/>
      <c r="K132" s="812"/>
      <c r="L132" s="457"/>
      <c r="M132" s="662"/>
      <c r="N132" s="860"/>
    </row>
    <row r="133" spans="2:14" ht="36.75" customHeight="1">
      <c r="B133" s="461"/>
      <c r="C133" s="701"/>
      <c r="D133" s="583"/>
      <c r="E133" s="819"/>
      <c r="F133" s="822"/>
      <c r="G133" s="275">
        <v>7</v>
      </c>
      <c r="H133" s="272" t="s">
        <v>467</v>
      </c>
      <c r="I133" s="819"/>
      <c r="J133" s="825"/>
      <c r="K133" s="812"/>
      <c r="L133" s="457"/>
      <c r="M133" s="662"/>
      <c r="N133" s="860"/>
    </row>
    <row r="134" spans="2:14" ht="22.5" customHeight="1">
      <c r="B134" s="462"/>
      <c r="C134" s="702"/>
      <c r="D134" s="584"/>
      <c r="E134" s="820"/>
      <c r="F134" s="823"/>
      <c r="G134" s="278">
        <v>8</v>
      </c>
      <c r="H134" s="277"/>
      <c r="I134" s="820"/>
      <c r="J134" s="826"/>
      <c r="K134" s="813"/>
      <c r="L134" s="457"/>
      <c r="M134" s="662"/>
      <c r="N134" s="860"/>
    </row>
  </sheetData>
  <sheetProtection formatCells="0" formatColumns="0" formatRows="0"/>
  <mergeCells count="184">
    <mergeCell ref="L111:L118"/>
    <mergeCell ref="L119:L126"/>
    <mergeCell ref="M111:M118"/>
    <mergeCell ref="M119:M126"/>
    <mergeCell ref="N111:N118"/>
    <mergeCell ref="N119:N126"/>
    <mergeCell ref="I127:I134"/>
    <mergeCell ref="I28:I35"/>
    <mergeCell ref="I36:I43"/>
    <mergeCell ref="I44:I51"/>
    <mergeCell ref="I52:I59"/>
    <mergeCell ref="I63:I70"/>
    <mergeCell ref="I71:I78"/>
    <mergeCell ref="I79:I86"/>
    <mergeCell ref="I87:I94"/>
    <mergeCell ref="I95:I102"/>
    <mergeCell ref="N79:N86"/>
    <mergeCell ref="N87:N94"/>
    <mergeCell ref="N95:N102"/>
    <mergeCell ref="N103:N110"/>
    <mergeCell ref="N127:N134"/>
    <mergeCell ref="L79:L86"/>
    <mergeCell ref="L87:L94"/>
    <mergeCell ref="L95:L102"/>
    <mergeCell ref="N17:N19"/>
    <mergeCell ref="N20:N27"/>
    <mergeCell ref="N28:N35"/>
    <mergeCell ref="N36:N43"/>
    <mergeCell ref="N44:N51"/>
    <mergeCell ref="N52:N59"/>
    <mergeCell ref="N60:N62"/>
    <mergeCell ref="N63:N70"/>
    <mergeCell ref="N71:N78"/>
    <mergeCell ref="L103:L110"/>
    <mergeCell ref="L127:L134"/>
    <mergeCell ref="M17:M19"/>
    <mergeCell ref="M20:M27"/>
    <mergeCell ref="M28:M35"/>
    <mergeCell ref="M36:M43"/>
    <mergeCell ref="M44:M51"/>
    <mergeCell ref="M52:M59"/>
    <mergeCell ref="M60:M62"/>
    <mergeCell ref="M63:M70"/>
    <mergeCell ref="M71:M78"/>
    <mergeCell ref="M79:M86"/>
    <mergeCell ref="M87:M94"/>
    <mergeCell ref="M95:M102"/>
    <mergeCell ref="M103:M110"/>
    <mergeCell ref="M127:M134"/>
    <mergeCell ref="L17:L19"/>
    <mergeCell ref="L20:L27"/>
    <mergeCell ref="L28:L35"/>
    <mergeCell ref="L36:L43"/>
    <mergeCell ref="L44:L51"/>
    <mergeCell ref="L52:L59"/>
    <mergeCell ref="L60:L62"/>
    <mergeCell ref="L63:L70"/>
    <mergeCell ref="L71:L78"/>
    <mergeCell ref="C36:C43"/>
    <mergeCell ref="E36:E43"/>
    <mergeCell ref="F36:F43"/>
    <mergeCell ref="C71:C78"/>
    <mergeCell ref="E71:E78"/>
    <mergeCell ref="F71:F78"/>
    <mergeCell ref="C63:C70"/>
    <mergeCell ref="E63:E70"/>
    <mergeCell ref="F63:F70"/>
    <mergeCell ref="C52:C59"/>
    <mergeCell ref="E52:E59"/>
    <mergeCell ref="D71:D78"/>
    <mergeCell ref="D52:D59"/>
    <mergeCell ref="D63:D70"/>
    <mergeCell ref="C60:C62"/>
    <mergeCell ref="J63:J70"/>
    <mergeCell ref="J52:J59"/>
    <mergeCell ref="J60:J62"/>
    <mergeCell ref="D36:D43"/>
    <mergeCell ref="J36:J43"/>
    <mergeCell ref="F60:F62"/>
    <mergeCell ref="E60:E62"/>
    <mergeCell ref="D44:D51"/>
    <mergeCell ref="J79:J86"/>
    <mergeCell ref="J87:J94"/>
    <mergeCell ref="C79:C86"/>
    <mergeCell ref="E79:E86"/>
    <mergeCell ref="F79:F86"/>
    <mergeCell ref="D79:D86"/>
    <mergeCell ref="D87:D94"/>
    <mergeCell ref="C87:C94"/>
    <mergeCell ref="E87:E94"/>
    <mergeCell ref="F87:F94"/>
    <mergeCell ref="D103:D110"/>
    <mergeCell ref="J95:J102"/>
    <mergeCell ref="J103:J110"/>
    <mergeCell ref="D95:D102"/>
    <mergeCell ref="C103:C110"/>
    <mergeCell ref="E103:E110"/>
    <mergeCell ref="F103:F110"/>
    <mergeCell ref="C95:C102"/>
    <mergeCell ref="E95:E102"/>
    <mergeCell ref="F95:F102"/>
    <mergeCell ref="I103:I110"/>
    <mergeCell ref="E44:E51"/>
    <mergeCell ref="F44:F51"/>
    <mergeCell ref="J44:J51"/>
    <mergeCell ref="I61:I62"/>
    <mergeCell ref="G60:I60"/>
    <mergeCell ref="G61:G62"/>
    <mergeCell ref="F52:F59"/>
    <mergeCell ref="D60:D62"/>
    <mergeCell ref="H61:H62"/>
    <mergeCell ref="C14:K14"/>
    <mergeCell ref="C15:K15"/>
    <mergeCell ref="K20:K27"/>
    <mergeCell ref="K28:K35"/>
    <mergeCell ref="D17:D19"/>
    <mergeCell ref="C20:C27"/>
    <mergeCell ref="E20:E27"/>
    <mergeCell ref="F20:F27"/>
    <mergeCell ref="G18:G19"/>
    <mergeCell ref="C17:C19"/>
    <mergeCell ref="F17:F19"/>
    <mergeCell ref="G17:I17"/>
    <mergeCell ref="I18:I19"/>
    <mergeCell ref="E17:E19"/>
    <mergeCell ref="J17:J19"/>
    <mergeCell ref="C28:C35"/>
    <mergeCell ref="D28:D35"/>
    <mergeCell ref="E28:E35"/>
    <mergeCell ref="F28:F35"/>
    <mergeCell ref="J28:J35"/>
    <mergeCell ref="D20:D27"/>
    <mergeCell ref="J20:J27"/>
    <mergeCell ref="H18:H19"/>
    <mergeCell ref="I20:I27"/>
    <mergeCell ref="B17:B19"/>
    <mergeCell ref="B20:B27"/>
    <mergeCell ref="B28:B35"/>
    <mergeCell ref="B36:B43"/>
    <mergeCell ref="B44:B51"/>
    <mergeCell ref="K127:K134"/>
    <mergeCell ref="K71:K78"/>
    <mergeCell ref="K79:K86"/>
    <mergeCell ref="K87:K94"/>
    <mergeCell ref="K95:K102"/>
    <mergeCell ref="K103:K110"/>
    <mergeCell ref="K36:K43"/>
    <mergeCell ref="K44:K51"/>
    <mergeCell ref="K52:K59"/>
    <mergeCell ref="K60:K62"/>
    <mergeCell ref="K63:K70"/>
    <mergeCell ref="K17:K19"/>
    <mergeCell ref="C127:C134"/>
    <mergeCell ref="D127:D134"/>
    <mergeCell ref="E127:E134"/>
    <mergeCell ref="F127:F134"/>
    <mergeCell ref="J127:J134"/>
    <mergeCell ref="J71:J78"/>
    <mergeCell ref="C44:C51"/>
    <mergeCell ref="B87:B94"/>
    <mergeCell ref="B95:B102"/>
    <mergeCell ref="B103:B110"/>
    <mergeCell ref="B127:B134"/>
    <mergeCell ref="B52:B59"/>
    <mergeCell ref="B60:B62"/>
    <mergeCell ref="B63:B70"/>
    <mergeCell ref="B71:B78"/>
    <mergeCell ref="B79:B86"/>
    <mergeCell ref="B111:B118"/>
    <mergeCell ref="B119:B126"/>
    <mergeCell ref="D119:D126"/>
    <mergeCell ref="E119:E126"/>
    <mergeCell ref="F119:F126"/>
    <mergeCell ref="I119:I126"/>
    <mergeCell ref="J119:J126"/>
    <mergeCell ref="K119:K126"/>
    <mergeCell ref="C119:C126"/>
    <mergeCell ref="C111:C118"/>
    <mergeCell ref="D111:D118"/>
    <mergeCell ref="E111:E118"/>
    <mergeCell ref="F111:F118"/>
    <mergeCell ref="J111:J118"/>
    <mergeCell ref="K111:K118"/>
    <mergeCell ref="I111:I118"/>
  </mergeCells>
  <dataValidations count="1">
    <dataValidation type="list" allowBlank="1" showInputMessage="1" showErrorMessage="1" sqref="J20:J59 J63:J134 F28:F59 F20 F63:F134" xr:uid="{00000000-0002-0000-0600-000000000000}">
      <formula1>"1,2,3"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W95"/>
  <sheetViews>
    <sheetView topLeftCell="A13" zoomScale="90" zoomScaleNormal="90" workbookViewId="0">
      <pane xSplit="3" ySplit="2" topLeftCell="M18" activePane="bottomRight" state="frozen"/>
      <selection pane="topRight" activeCell="D13" sqref="D13"/>
      <selection pane="bottomLeft" activeCell="A15" sqref="A15"/>
      <selection pane="bottomRight" activeCell="U83" sqref="U83"/>
    </sheetView>
  </sheetViews>
  <sheetFormatPr baseColWidth="10" defaultColWidth="11.42578125" defaultRowHeight="20.25"/>
  <cols>
    <col min="1" max="1" width="2.42578125" style="28" customWidth="1"/>
    <col min="2" max="2" width="25.140625" style="28" customWidth="1"/>
    <col min="3" max="3" width="11.7109375" style="162" customWidth="1"/>
    <col min="4" max="4" width="19.85546875" style="28" bestFit="1" customWidth="1"/>
    <col min="5" max="5" width="43.140625" style="28" bestFit="1" customWidth="1"/>
    <col min="6" max="6" width="37.5703125" style="28" bestFit="1" customWidth="1"/>
    <col min="7" max="7" width="9.28515625" style="28" bestFit="1" customWidth="1"/>
    <col min="8" max="8" width="13.7109375" style="28" customWidth="1"/>
    <col min="9" max="9" width="54.42578125" style="28" bestFit="1" customWidth="1"/>
    <col min="10" max="10" width="2.7109375" style="45" bestFit="1" customWidth="1"/>
    <col min="11" max="11" width="30.28515625" style="28" bestFit="1" customWidth="1"/>
    <col min="12" max="12" width="17" style="28" bestFit="1" customWidth="1"/>
    <col min="13" max="13" width="30" style="119" customWidth="1"/>
    <col min="14" max="14" width="36.85546875" style="119" customWidth="1"/>
    <col min="15" max="15" width="14.5703125" style="119" customWidth="1"/>
    <col min="16" max="16" width="18.5703125" style="142" customWidth="1"/>
    <col min="17" max="17" width="18.5703125" style="119" customWidth="1"/>
    <col min="18" max="18" width="18.28515625" style="196" customWidth="1"/>
    <col min="19" max="19" width="13.5703125" style="143" customWidth="1"/>
    <col min="20" max="20" width="19.28515625" style="143" customWidth="1"/>
    <col min="21" max="21" width="13.5703125" style="143" customWidth="1"/>
    <col min="22" max="22" width="74.28515625" style="121" customWidth="1"/>
    <col min="23" max="16384" width="11.42578125" style="28"/>
  </cols>
  <sheetData>
    <row r="1" spans="2:22" s="26" customFormat="1" ht="12.95" customHeight="1">
      <c r="B1" s="24"/>
      <c r="C1" s="160"/>
      <c r="J1" s="43"/>
      <c r="M1" s="117"/>
      <c r="N1" s="117"/>
      <c r="O1" s="117"/>
      <c r="P1" s="139"/>
      <c r="Q1" s="117"/>
      <c r="R1" s="184"/>
      <c r="S1" s="140"/>
      <c r="T1" s="140"/>
      <c r="U1" s="140"/>
      <c r="V1" s="120"/>
    </row>
    <row r="2" spans="2:22" s="26" customFormat="1" ht="12.95" customHeight="1">
      <c r="B2" s="24"/>
      <c r="C2" s="160"/>
      <c r="J2" s="43"/>
      <c r="M2" s="117"/>
      <c r="N2" s="117"/>
      <c r="O2" s="117"/>
      <c r="P2" s="139"/>
      <c r="Q2" s="117"/>
      <c r="R2" s="184"/>
      <c r="S2" s="140"/>
      <c r="T2" s="140"/>
      <c r="U2" s="140"/>
      <c r="V2" s="120"/>
    </row>
    <row r="3" spans="2:22" s="26" customFormat="1" ht="12.95" customHeight="1" thickBot="1">
      <c r="B3" s="60"/>
      <c r="C3" s="161"/>
      <c r="D3" s="61"/>
      <c r="E3" s="61"/>
      <c r="F3" s="61"/>
      <c r="G3" s="61"/>
      <c r="H3" s="61"/>
      <c r="I3" s="61"/>
      <c r="J3" s="62"/>
      <c r="K3" s="61"/>
      <c r="L3" s="61"/>
      <c r="M3" s="117"/>
      <c r="N3" s="117"/>
      <c r="O3" s="117"/>
      <c r="P3" s="139"/>
      <c r="Q3" s="117"/>
      <c r="R3" s="184"/>
      <c r="S3" s="140"/>
      <c r="T3" s="140"/>
      <c r="U3" s="140"/>
      <c r="V3" s="120"/>
    </row>
    <row r="4" spans="2:22" s="26" customFormat="1" ht="27.75" customHeight="1" thickBot="1">
      <c r="B4" s="879" t="s">
        <v>491</v>
      </c>
      <c r="C4" s="880"/>
      <c r="D4" s="880"/>
      <c r="E4" s="880"/>
      <c r="F4" s="880"/>
      <c r="G4" s="880"/>
      <c r="H4" s="880"/>
      <c r="I4" s="880"/>
      <c r="J4" s="880"/>
      <c r="K4" s="880"/>
      <c r="L4" s="881"/>
      <c r="M4" s="117"/>
      <c r="N4" s="117"/>
      <c r="O4" s="117"/>
      <c r="P4" s="139"/>
      <c r="Q4" s="117"/>
      <c r="R4" s="184"/>
      <c r="S4" s="140"/>
      <c r="T4" s="140"/>
      <c r="U4" s="140"/>
      <c r="V4" s="120"/>
    </row>
    <row r="5" spans="2:22" s="26" customFormat="1" ht="12.95" customHeight="1" thickBot="1">
      <c r="B5" s="25"/>
      <c r="C5" s="160"/>
      <c r="J5" s="43"/>
      <c r="M5" s="117"/>
      <c r="N5" s="117"/>
      <c r="O5" s="117"/>
      <c r="P5" s="139"/>
      <c r="Q5" s="117"/>
      <c r="R5" s="184"/>
      <c r="S5" s="140"/>
      <c r="T5" s="140"/>
      <c r="U5" s="140"/>
      <c r="V5" s="120"/>
    </row>
    <row r="6" spans="2:22" s="26" customFormat="1" ht="36.6" customHeight="1" thickBot="1">
      <c r="B6" s="882" t="s">
        <v>22</v>
      </c>
      <c r="C6" s="883"/>
      <c r="D6" s="883" t="s">
        <v>5</v>
      </c>
      <c r="E6" s="883"/>
      <c r="F6" s="883" t="s">
        <v>23</v>
      </c>
      <c r="G6" s="887"/>
      <c r="H6" s="80"/>
      <c r="I6" s="80"/>
      <c r="J6" s="43"/>
      <c r="M6" s="117"/>
      <c r="N6" s="117"/>
      <c r="O6" s="117"/>
      <c r="P6" s="139"/>
      <c r="Q6" s="117"/>
      <c r="R6" s="184"/>
      <c r="S6" s="140"/>
      <c r="T6" s="140"/>
      <c r="U6" s="140"/>
      <c r="V6" s="120"/>
    </row>
    <row r="7" spans="2:22" s="26" customFormat="1" ht="75.75" customHeight="1">
      <c r="B7" s="884" t="s">
        <v>24</v>
      </c>
      <c r="C7" s="885"/>
      <c r="D7" s="886" t="s">
        <v>25</v>
      </c>
      <c r="E7" s="886"/>
      <c r="F7" s="886" t="s">
        <v>492</v>
      </c>
      <c r="G7" s="888"/>
      <c r="H7" s="81"/>
      <c r="I7" s="82">
        <v>1</v>
      </c>
      <c r="J7" s="43"/>
      <c r="M7" s="117"/>
      <c r="N7" s="117"/>
      <c r="O7" s="117"/>
      <c r="P7" s="139"/>
      <c r="Q7" s="117"/>
      <c r="R7" s="184"/>
      <c r="S7" s="140"/>
      <c r="T7" s="140"/>
      <c r="U7" s="140"/>
      <c r="V7" s="120"/>
    </row>
    <row r="8" spans="2:22" s="26" customFormat="1" ht="57" customHeight="1">
      <c r="B8" s="876" t="s">
        <v>27</v>
      </c>
      <c r="C8" s="877"/>
      <c r="D8" s="878" t="s">
        <v>28</v>
      </c>
      <c r="E8" s="878"/>
      <c r="F8" s="878" t="s">
        <v>493</v>
      </c>
      <c r="G8" s="889"/>
      <c r="H8" s="83" t="s">
        <v>494</v>
      </c>
      <c r="I8" s="82">
        <v>0.75</v>
      </c>
      <c r="J8" s="43"/>
      <c r="M8" s="117"/>
      <c r="N8" s="117"/>
      <c r="O8" s="117"/>
      <c r="P8" s="139"/>
      <c r="Q8" s="117"/>
      <c r="R8" s="184"/>
      <c r="S8" s="140"/>
      <c r="T8" s="140"/>
      <c r="U8" s="140"/>
      <c r="V8" s="120"/>
    </row>
    <row r="9" spans="2:22" s="26" customFormat="1" ht="71.25" customHeight="1">
      <c r="B9" s="895" t="s">
        <v>30</v>
      </c>
      <c r="C9" s="896"/>
      <c r="D9" s="878" t="s">
        <v>495</v>
      </c>
      <c r="E9" s="878"/>
      <c r="F9" s="878" t="s">
        <v>496</v>
      </c>
      <c r="G9" s="889"/>
      <c r="H9" s="84"/>
      <c r="I9" s="82">
        <v>0.5</v>
      </c>
      <c r="J9" s="43"/>
      <c r="M9" s="117"/>
      <c r="N9" s="117"/>
      <c r="O9" s="117"/>
      <c r="P9" s="139"/>
      <c r="Q9" s="117"/>
      <c r="R9" s="184"/>
      <c r="S9" s="140"/>
      <c r="T9" s="140"/>
      <c r="U9" s="140"/>
      <c r="V9" s="120"/>
    </row>
    <row r="10" spans="2:22" s="26" customFormat="1" ht="97.5" customHeight="1" thickBot="1">
      <c r="B10" s="890" t="s">
        <v>33</v>
      </c>
      <c r="C10" s="891"/>
      <c r="D10" s="892" t="s">
        <v>497</v>
      </c>
      <c r="E10" s="892"/>
      <c r="F10" s="892" t="s">
        <v>35</v>
      </c>
      <c r="G10" s="899"/>
      <c r="H10" s="84"/>
      <c r="I10" s="82">
        <v>0.25</v>
      </c>
      <c r="J10" s="43"/>
      <c r="M10" s="117"/>
      <c r="N10" s="117"/>
      <c r="O10" s="117"/>
      <c r="P10" s="139"/>
      <c r="Q10" s="117"/>
      <c r="R10" s="184"/>
      <c r="S10" s="140"/>
      <c r="T10" s="140"/>
      <c r="U10" s="140"/>
      <c r="V10" s="120"/>
    </row>
    <row r="11" spans="2:22" s="26" customFormat="1" ht="26.25" customHeight="1">
      <c r="B11" s="900" t="s">
        <v>498</v>
      </c>
      <c r="C11" s="900"/>
      <c r="D11" s="900"/>
      <c r="E11" s="900"/>
      <c r="F11" s="900"/>
      <c r="G11" s="900"/>
      <c r="H11" s="900"/>
      <c r="I11" s="900"/>
      <c r="J11" s="44"/>
      <c r="K11" s="27"/>
      <c r="L11" s="27"/>
      <c r="M11" s="27"/>
      <c r="N11" s="27"/>
      <c r="O11" s="117"/>
      <c r="P11" s="139"/>
      <c r="Q11" s="117"/>
      <c r="R11" s="184"/>
      <c r="S11" s="140"/>
      <c r="T11" s="140"/>
      <c r="U11" s="140"/>
      <c r="V11" s="120"/>
    </row>
    <row r="12" spans="2:22" s="26" customFormat="1" ht="38.25" customHeight="1" thickBot="1">
      <c r="B12" s="25"/>
      <c r="C12" s="160"/>
      <c r="J12" s="43"/>
      <c r="M12" s="117"/>
      <c r="N12" s="117"/>
      <c r="O12" s="117"/>
      <c r="P12" s="139"/>
      <c r="Q12" s="117"/>
      <c r="R12" s="184"/>
      <c r="S12" s="140"/>
      <c r="T12" s="140"/>
      <c r="U12" s="140"/>
      <c r="V12" s="120"/>
    </row>
    <row r="13" spans="2:22" s="26" customFormat="1" ht="42.75" customHeight="1">
      <c r="B13" s="901" t="s">
        <v>499</v>
      </c>
      <c r="C13" s="903" t="s">
        <v>500</v>
      </c>
      <c r="D13" s="904"/>
      <c r="E13" s="904"/>
      <c r="F13" s="905"/>
      <c r="G13" s="906" t="s">
        <v>501</v>
      </c>
      <c r="H13" s="897" t="s">
        <v>502</v>
      </c>
      <c r="I13" s="907" t="s">
        <v>503</v>
      </c>
      <c r="J13" s="43"/>
      <c r="K13" s="893" t="s">
        <v>504</v>
      </c>
      <c r="L13" s="893" t="s">
        <v>505</v>
      </c>
      <c r="M13" s="869" t="s">
        <v>506</v>
      </c>
      <c r="N13" s="865" t="s">
        <v>507</v>
      </c>
      <c r="O13" s="866"/>
      <c r="P13" s="866"/>
      <c r="Q13" s="866"/>
      <c r="R13" s="867"/>
      <c r="S13" s="867"/>
      <c r="T13" s="867"/>
      <c r="U13" s="867"/>
      <c r="V13" s="868"/>
    </row>
    <row r="14" spans="2:22" s="26" customFormat="1" ht="81.75" customHeight="1" thickBot="1">
      <c r="B14" s="902"/>
      <c r="C14" s="159" t="s">
        <v>508</v>
      </c>
      <c r="D14" s="78" t="s">
        <v>50</v>
      </c>
      <c r="E14" s="78" t="s">
        <v>509</v>
      </c>
      <c r="F14" s="79" t="s">
        <v>510</v>
      </c>
      <c r="G14" s="898"/>
      <c r="H14" s="898"/>
      <c r="I14" s="908"/>
      <c r="J14" s="43"/>
      <c r="K14" s="894"/>
      <c r="L14" s="894"/>
      <c r="M14" s="870"/>
      <c r="N14" s="118" t="s">
        <v>511</v>
      </c>
      <c r="O14" s="118" t="s">
        <v>512</v>
      </c>
      <c r="P14" s="118" t="s">
        <v>513</v>
      </c>
      <c r="Q14" s="118" t="s">
        <v>514</v>
      </c>
      <c r="R14" s="118" t="s">
        <v>838</v>
      </c>
      <c r="S14" s="150" t="s">
        <v>515</v>
      </c>
      <c r="T14" s="157" t="s">
        <v>868</v>
      </c>
      <c r="U14" s="157" t="s">
        <v>934</v>
      </c>
      <c r="V14" s="137" t="s">
        <v>516</v>
      </c>
    </row>
    <row r="15" spans="2:22" s="26" customFormat="1" ht="225.75" customHeight="1">
      <c r="B15" s="164">
        <f>+IF(ISTEXT(D15),J15,"")</f>
        <v>1</v>
      </c>
      <c r="C15" s="165" t="str">
        <f>+IFERROR(INDEX(Hoja1!$A$2:$A$82,MATCH(J15,Hoja1!$H$2:$H$82,0)),"")</f>
        <v>1.1</v>
      </c>
      <c r="D15" s="72" t="str">
        <f>IFERROR(VLOOKUP(C15,Hoja1!$A$2:$H$82,4,0),"")</f>
        <v>Ambiente de Control</v>
      </c>
      <c r="E15" s="72" t="str">
        <f>+IFERROR(VLOOKUP(C15,Hoja1!$A$1:$J$82,10,0),"")</f>
        <v>La entidad demuestra el compromiso con la integridad (valores) y principios del servicio público</v>
      </c>
      <c r="F15" s="72" t="str">
        <f>+IFERROR(VLOOKUP(C15,Hoja1!$A$1:$I$82,3,0),"")</f>
        <v xml:space="preserve"> Aplicación del Código de Integridad. (incluye análisis de desviaciones, convivencia laboral, temas disciplinarios internos, quejas o denuncias sobres los servidores de la entidad, u otros temas relacionados)</v>
      </c>
      <c r="G15" s="73">
        <f>+IFERROR(VLOOKUP(C15,Hoja1!$A$1:$K$82,11,0),"")</f>
        <v>3</v>
      </c>
      <c r="H15" s="74">
        <f>+IFERROR(VLOOKUP(C15,Hoja1!$A$1:$L$82,12,0),"")</f>
        <v>2</v>
      </c>
      <c r="I15" s="71" t="str">
        <f>+IF(OR(AND(G15=1,H15=1),AND(G15=1,H15=2),AND(G15=1,H15=3),G15="",H15=""),"No se encuentra presente  por lo tanto no esta funcionando, lo que hace que se requieran acciones dirigidas a fortalecer su diseño y puesta en marcha",IF(OR(AND(G15=2,H15=2),AND(G15=3,H15=1),AND(G15=3,H15=2),AND(G15=2,H15=1)),"Se encuentra presente y funcionando, pero requiere acciones dirigidas a fortalecer  o mejorar su diseño y/o ejecucion.",IF(AND(G15=2,H15=3),"Se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5" s="306">
        <v>1</v>
      </c>
      <c r="K15" s="130">
        <f>+VLOOKUP(C15,Hoja1!$A$1:$M$82,13,0)</f>
        <v>0.5</v>
      </c>
      <c r="L15" s="871">
        <f>+AVERAGE(K15:K38)</f>
        <v>0.9375</v>
      </c>
      <c r="M15" s="295" t="s">
        <v>837</v>
      </c>
      <c r="N15" s="146" t="s">
        <v>836</v>
      </c>
      <c r="O15" s="296" t="s">
        <v>834</v>
      </c>
      <c r="P15" s="296" t="s">
        <v>835</v>
      </c>
      <c r="Q15" s="296" t="s">
        <v>521</v>
      </c>
      <c r="S15" s="186"/>
      <c r="T15" s="297">
        <v>0.5</v>
      </c>
      <c r="U15" s="182">
        <v>0.8</v>
      </c>
      <c r="V15" s="146" t="s">
        <v>935</v>
      </c>
    </row>
    <row r="16" spans="2:22" s="26" customFormat="1" ht="276.75" customHeight="1">
      <c r="B16" s="167">
        <f t="shared" ref="B16:B79" si="0">+IF(ISTEXT(D16),J16,"")</f>
        <v>2</v>
      </c>
      <c r="C16" s="166" t="str">
        <f>+IFERROR(INDEX(Hoja1!$A$2:$A$82,MATCH(J16,Hoja1!$H$2:$H$82,0)),"")</f>
        <v>1.4</v>
      </c>
      <c r="D16" s="163" t="str">
        <f>IFERROR(VLOOKUP(C16,Hoja1!$A$2:$H$82,4,0),"")</f>
        <v>Ambiente de Control</v>
      </c>
      <c r="E16" s="76" t="str">
        <f>+IFERROR(VLOOKUP(C16,Hoja1!$A$1:$J$82,10,0),"")</f>
        <v>La entidad demuestra el compromiso con la integridad (valores) y principios del servicio público</v>
      </c>
      <c r="F16" s="76" t="str">
        <f>+IFERROR(VLOOKUP(C16,Hoja1!$A$1:$I$82,3,0),"")</f>
        <v xml:space="preserve"> La evaluación de las acciones transversales de integridad, mediante el monitoreo permanente de los riesgos de corrupción.</v>
      </c>
      <c r="G16" s="75">
        <f>+IFERROR(VLOOKUP(C16,Hoja1!$A$1:$K$82,11,0),"")</f>
        <v>3</v>
      </c>
      <c r="H16" s="77">
        <f>+IFERROR(VLOOKUP(C16,Hoja1!$A$1:$L$82,12,0),"")</f>
        <v>2</v>
      </c>
      <c r="I16" s="71" t="str">
        <f t="shared" ref="I16:I79" si="1">+IF(OR(AND(G16=1,H16=1),AND(G16=1,H16=2),AND(G16=1,H16=3),G16="",H16=""),"No se encuentra presente  por lo tanto no esta funcionando, lo que hace que se requieran acciones dirigidas a fortalecer su diseño y puesta en marcha",IF(OR(AND(G16=2,H16=2),AND(G16=3,H16=1),AND(G16=3,H16=2),AND(G16=2,H16=1)),"Se encuentra presente y funcionando, pero requiere acciones dirigidas a fortalecer  o mejorar su diseño y/o ejecucion.",IF(AND(G16=2,H16=3),"Se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6" s="43">
        <v>2</v>
      </c>
      <c r="K16" s="130">
        <f>+VLOOKUP(C16,Hoja1!$A$1:$M$82,13,0)</f>
        <v>0.5</v>
      </c>
      <c r="L16" s="872"/>
      <c r="M16" s="115"/>
      <c r="N16" s="115"/>
      <c r="O16" s="129"/>
      <c r="P16" s="129"/>
      <c r="Q16" s="128"/>
      <c r="R16" s="187"/>
      <c r="S16" s="186"/>
      <c r="T16" s="141">
        <v>0.5</v>
      </c>
      <c r="U16" s="141">
        <v>0.8</v>
      </c>
      <c r="V16" s="146" t="s">
        <v>881</v>
      </c>
    </row>
    <row r="17" spans="2:22" s="26" customFormat="1" ht="174.75" customHeight="1">
      <c r="B17" s="167">
        <f t="shared" si="0"/>
        <v>3</v>
      </c>
      <c r="C17" s="166" t="str">
        <f>+IFERROR(INDEX(Hoja1!$A$2:$A$82,MATCH(J17,Hoja1!$H$2:$H$82,0)),"")</f>
        <v>3.1</v>
      </c>
      <c r="D17" s="163" t="str">
        <f>IFERROR(VLOOKUP(C17,Hoja1!$A$2:$H$82,4,0),"")</f>
        <v>Ambiente de Control</v>
      </c>
      <c r="E17" s="76" t="str">
        <f>+IFERROR(VLOOKUP(C17,Hoja1!$A$1:$J$82,10,0),"")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17" s="76" t="str">
        <f>+IFERROR(VLOOKUP(C17,Hoja1!$A$1:$I$82,3,0),"")</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definir ajustes, dificultades para su desarrollo</v>
      </c>
      <c r="G17" s="75">
        <f>+IFERROR(VLOOKUP(C17,Hoja1!$A$1:$K$82,11,0),"")</f>
        <v>3</v>
      </c>
      <c r="H17" s="77">
        <f>+IFERROR(VLOOKUP(C17,Hoja1!$A$1:$L$82,12,0),"")</f>
        <v>2</v>
      </c>
      <c r="I17" s="71" t="str">
        <f t="shared" si="1"/>
        <v>Se encuentra presente y funcionando, pero requiere acciones dirigidas a fortalecer  o mejorar su diseño y/o ejecucion.</v>
      </c>
      <c r="J17" s="43">
        <v>3</v>
      </c>
      <c r="K17" s="131">
        <f>+VLOOKUP(C17,Hoja1!$A$1:$M$82,13,0)</f>
        <v>0.5</v>
      </c>
      <c r="L17" s="872"/>
      <c r="M17" s="115"/>
      <c r="N17" s="115" t="s">
        <v>520</v>
      </c>
      <c r="O17" s="129" t="s">
        <v>517</v>
      </c>
      <c r="P17" s="129" t="s">
        <v>518</v>
      </c>
      <c r="Q17" s="129" t="s">
        <v>521</v>
      </c>
      <c r="R17" s="185">
        <v>1</v>
      </c>
      <c r="S17" s="201">
        <v>1</v>
      </c>
      <c r="T17" s="141">
        <v>1</v>
      </c>
      <c r="U17" s="141"/>
      <c r="V17" s="200" t="s">
        <v>522</v>
      </c>
    </row>
    <row r="18" spans="2:22" s="26" customFormat="1" ht="129.75" customHeight="1">
      <c r="B18" s="164">
        <f t="shared" si="0"/>
        <v>4</v>
      </c>
      <c r="C18" s="166" t="str">
        <f>+IFERROR(INDEX(Hoja1!$A$2:$A$82,MATCH(J18,Hoja1!$H$2:$H$82,0)),"")</f>
        <v>1.2</v>
      </c>
      <c r="D18" s="163" t="str">
        <f>IFERROR(VLOOKUP(C18,Hoja1!$A$2:$H$82,4,0),"")</f>
        <v>Ambiente de Control</v>
      </c>
      <c r="E18" s="76" t="str">
        <f>+IFERROR(VLOOKUP(C18,Hoja1!$A$1:$J$82,10,0),"")</f>
        <v>La entidad demuestra el compromiso con la integridad (valores) y principios del servicio público</v>
      </c>
      <c r="F18" s="76" t="str">
        <f>+IFERROR(VLOOKUP(C18,Hoja1!$A$1:$I$82,3,0),"")</f>
        <v xml:space="preserve"> Mecanismos para el manejo de conflictos de interés.</v>
      </c>
      <c r="G18" s="75">
        <f>+IFERROR(VLOOKUP(C18,Hoja1!$A$1:$K$82,11,0),"")</f>
        <v>3</v>
      </c>
      <c r="H18" s="77">
        <f>+IFERROR(VLOOKUP(C18,Hoja1!$A$1:$L$82,12,0),"")</f>
        <v>3</v>
      </c>
      <c r="I18" s="71" t="str">
        <f t="shared" si="1"/>
        <v>Se encuentra presente y funciona correctamente, por lo tanto se requiere acciones o actividades  dirigidas a su mantenimiento dentro del marco de las lineas de defensa.</v>
      </c>
      <c r="J18" s="43">
        <v>4</v>
      </c>
      <c r="K18" s="131">
        <f>+VLOOKUP(C18,Hoja1!$A$1:$M$82,13,0)</f>
        <v>1</v>
      </c>
      <c r="L18" s="872"/>
      <c r="M18" s="30"/>
      <c r="N18" s="30"/>
      <c r="O18" s="30"/>
      <c r="P18" s="30"/>
      <c r="Q18" s="30"/>
      <c r="R18" s="30"/>
      <c r="S18" s="30"/>
      <c r="T18" s="30"/>
      <c r="U18" s="30"/>
      <c r="V18" s="30"/>
    </row>
    <row r="19" spans="2:22" s="26" customFormat="1" ht="128.25" customHeight="1">
      <c r="B19" s="167">
        <f t="shared" si="0"/>
        <v>5</v>
      </c>
      <c r="C19" s="166" t="str">
        <f>+IFERROR(INDEX(Hoja1!$A$2:$A$82,MATCH(J19,Hoja1!$H$2:$H$82,0)),"")</f>
        <v>1.3</v>
      </c>
      <c r="D19" s="163" t="str">
        <f>IFERROR(VLOOKUP(C19,Hoja1!$A$2:$H$82,4,0),"")</f>
        <v>Ambiente de Control</v>
      </c>
      <c r="E19" s="76" t="str">
        <f>+IFERROR(VLOOKUP(C19,Hoja1!$A$1:$J$82,10,0),"")</f>
        <v>La entidad demuestra el compromiso con la integridad (valores) y principios del servicio público</v>
      </c>
      <c r="F19" s="76" t="str">
        <f>+IFERROR(VLOOKUP(C19,Hoja1!$A$1:$I$82,3,0),"")</f>
        <v xml:space="preserve"> Mecanismos frente a la detección y prevención del uso inadecuado de información privilegiada u otras situaciones que puedan implicar riesgos para la entidad</v>
      </c>
      <c r="G19" s="75">
        <f>+IFERROR(VLOOKUP(C19,Hoja1!$A$1:$K$82,11,0),"")</f>
        <v>3</v>
      </c>
      <c r="H19" s="77">
        <f>+IFERROR(VLOOKUP(C19,Hoja1!$A$1:$L$82,12,0),"")</f>
        <v>3</v>
      </c>
      <c r="I19" s="71" t="str">
        <f t="shared" si="1"/>
        <v>Se encuentra presente y funciona correctamente, por lo tanto se requiere acciones o actividades  dirigidas a su mantenimiento dentro del marco de las lineas de defensa.</v>
      </c>
      <c r="J19" s="43">
        <v>5</v>
      </c>
      <c r="K19" s="131">
        <f>+VLOOKUP(C19,Hoja1!$A$1:$M$82,13,0)</f>
        <v>1</v>
      </c>
      <c r="L19" s="872"/>
      <c r="M19" s="115"/>
      <c r="N19" s="30"/>
      <c r="O19" s="30"/>
      <c r="P19" s="30"/>
      <c r="Q19" s="30"/>
      <c r="R19" s="188"/>
      <c r="S19" s="30"/>
      <c r="T19" s="30"/>
      <c r="U19" s="30"/>
      <c r="V19" s="30"/>
    </row>
    <row r="20" spans="2:22" s="26" customFormat="1" ht="114.75" customHeight="1">
      <c r="B20" s="164">
        <f t="shared" si="0"/>
        <v>6</v>
      </c>
      <c r="C20" s="166" t="str">
        <f>+IFERROR(INDEX(Hoja1!$A$2:$A$82,MATCH(J20,Hoja1!$H$2:$H$82,0)),"")</f>
        <v>1.5</v>
      </c>
      <c r="D20" s="163" t="str">
        <f>IFERROR(VLOOKUP(C20,Hoja1!$A$2:$H$82,4,0),"")</f>
        <v>Ambiente de Control</v>
      </c>
      <c r="E20" s="76" t="str">
        <f>+IFERROR(VLOOKUP(C20,Hoja1!$A$1:$J$82,10,0),"")</f>
        <v>La entidad demuestra el compromiso con la integridad (valores) y principios del servicio público</v>
      </c>
      <c r="F20" s="76" t="str">
        <f>+IFERROR(VLOOKUP(C20,Hoja1!$A$1:$I$82,3,0),"")</f>
        <v xml:space="preserve"> Análisis sobre viabilidad para el establecimiento de una línea de denuncia interna sobre situaciones irregulares o posibles incumplimientos al código de integridad.
NOTA: Si la entidad ya cuenta con esta línea en funcionamiento, establezca si ha aportado para la mejora de los mapas de riesgos o bien en otros ámbitos organizacionales.</v>
      </c>
      <c r="G20" s="75">
        <f>+IFERROR(VLOOKUP(C20,Hoja1!$A$1:$K$82,11,0),"")</f>
        <v>3</v>
      </c>
      <c r="H20" s="77">
        <f>+IFERROR(VLOOKUP(C20,Hoja1!$A$1:$L$82,12,0),"")</f>
        <v>3</v>
      </c>
      <c r="I20" s="71" t="str">
        <f t="shared" si="1"/>
        <v>Se encuentra presente y funciona correctamente, por lo tanto se requiere acciones o actividades  dirigidas a su mantenimiento dentro del marco de las lineas de defensa.</v>
      </c>
      <c r="J20" s="43">
        <v>6</v>
      </c>
      <c r="K20" s="131">
        <f>+VLOOKUP(C20,Hoja1!$A$1:$M$82,13,0)</f>
        <v>1</v>
      </c>
      <c r="L20" s="872"/>
      <c r="M20" s="295" t="s">
        <v>523</v>
      </c>
      <c r="N20" s="295" t="s">
        <v>524</v>
      </c>
      <c r="O20" s="302" t="s">
        <v>517</v>
      </c>
      <c r="P20" s="302" t="s">
        <v>518</v>
      </c>
      <c r="Q20" s="302" t="s">
        <v>525</v>
      </c>
      <c r="R20" s="305">
        <v>0.8</v>
      </c>
      <c r="S20" s="304">
        <v>1</v>
      </c>
      <c r="T20" s="304">
        <v>1</v>
      </c>
      <c r="U20" s="304"/>
      <c r="V20" s="299" t="s">
        <v>526</v>
      </c>
    </row>
    <row r="21" spans="2:22" s="26" customFormat="1" ht="114.75" customHeight="1">
      <c r="B21" s="167">
        <f t="shared" si="0"/>
        <v>7</v>
      </c>
      <c r="C21" s="166" t="str">
        <f>+IFERROR(INDEX(Hoja1!$A$2:$A$82,MATCH(J21,Hoja1!$H$2:$H$82,0)),"")</f>
        <v>2.1</v>
      </c>
      <c r="D21" s="163" t="str">
        <f>IFERROR(VLOOKUP(C21,Hoja1!$A$2:$H$82,4,0),"")</f>
        <v>Ambiente de Control</v>
      </c>
      <c r="E21" s="76" t="str">
        <f>+IFERROR(VLOOKUP(C21,Hoja1!$A$1:$J$82,10,0),"")</f>
        <v xml:space="preserve">Aplicación de mecanismos para ejercer una adecuada supervisión del Sistema de Control Interno </v>
      </c>
      <c r="F21" s="76" t="str">
        <f>+IFERROR(VLOOKUP(C21,Hoja1!$A$1:$I$82,3,0),"")</f>
        <v xml:space="preserve"> Creación o actualización del Comité Institucional de Coordinación de Control Interno (incluye ajustes en periodicidad para reunión, articulación con el Comité Institucional de Gestión y Desempeño)</v>
      </c>
      <c r="G21" s="75">
        <f>+IFERROR(VLOOKUP(C21,Hoja1!$A$1:$K$82,11,0),"")</f>
        <v>3</v>
      </c>
      <c r="H21" s="77">
        <f>+IFERROR(VLOOKUP(C21,Hoja1!$A$1:$L$82,12,0),"")</f>
        <v>3</v>
      </c>
      <c r="I21" s="71" t="str">
        <f t="shared" si="1"/>
        <v>Se encuentra presente y funciona correctamente, por lo tanto se requiere acciones o actividades  dirigidas a su mantenimiento dentro del marco de las lineas de defensa.</v>
      </c>
      <c r="J21" s="43">
        <v>7</v>
      </c>
      <c r="K21" s="131">
        <f>+VLOOKUP(C21,Hoja1!$A$1:$M$82,13,0)</f>
        <v>1</v>
      </c>
      <c r="L21" s="872"/>
      <c r="M21" s="295" t="s">
        <v>527</v>
      </c>
      <c r="N21" s="295" t="s">
        <v>528</v>
      </c>
      <c r="O21" s="302" t="s">
        <v>517</v>
      </c>
      <c r="P21" s="302" t="s">
        <v>518</v>
      </c>
      <c r="Q21" s="296" t="s">
        <v>525</v>
      </c>
      <c r="R21" s="305">
        <v>0.85</v>
      </c>
      <c r="S21" s="304">
        <v>1</v>
      </c>
      <c r="T21" s="304">
        <v>1</v>
      </c>
      <c r="U21" s="304"/>
      <c r="V21" s="299" t="s">
        <v>529</v>
      </c>
    </row>
    <row r="22" spans="2:22" s="26" customFormat="1" ht="108" customHeight="1">
      <c r="B22" s="167">
        <f t="shared" si="0"/>
        <v>8</v>
      </c>
      <c r="C22" s="166" t="str">
        <f>+IFERROR(INDEX(Hoja1!$A$2:$A$82,MATCH(J22,Hoja1!$H$2:$H$82,0)),"")</f>
        <v>2.2</v>
      </c>
      <c r="D22" s="163" t="str">
        <f>IFERROR(VLOOKUP(C22,Hoja1!$A$2:$H$82,4,0),"")</f>
        <v>Ambiente de Control</v>
      </c>
      <c r="E22" s="76" t="str">
        <f>+IFERROR(VLOOKUP(C22,Hoja1!$A$1:$J$82,10,0),"")</f>
        <v xml:space="preserve">Aplicación de mecanismos para ejercer una adecuada supervisión del Sistema de Control Interno </v>
      </c>
      <c r="F22" s="76" t="str">
        <f>+IFERROR(VLOOKUP(C22,Hoja1!$A$1:$I$82,3,0),"")</f>
        <v xml:space="preserve"> Definición y documentación del Esquema de Líneas de Defens</v>
      </c>
      <c r="G22" s="75">
        <f>+IFERROR(VLOOKUP(C22,Hoja1!$A$1:$K$82,11,0),"")</f>
        <v>3</v>
      </c>
      <c r="H22" s="77">
        <f>+IFERROR(VLOOKUP(C22,Hoja1!$A$1:$L$82,12,0),"")</f>
        <v>3</v>
      </c>
      <c r="I22" s="71" t="str">
        <f t="shared" si="1"/>
        <v>Se encuentra presente y funciona correctamente, por lo tanto se requiere acciones o actividades  dirigidas a su mantenimiento dentro del marco de las lineas de defensa.</v>
      </c>
      <c r="J22" s="43">
        <v>8</v>
      </c>
      <c r="K22" s="131">
        <f>+VLOOKUP(C22,Hoja1!$A$1:$M$82,13,0)</f>
        <v>1</v>
      </c>
      <c r="L22" s="872"/>
      <c r="M22" s="30"/>
      <c r="N22" s="30"/>
      <c r="O22" s="30"/>
      <c r="P22" s="30"/>
      <c r="Q22" s="30"/>
      <c r="R22" s="30"/>
      <c r="S22" s="30"/>
      <c r="T22" s="30"/>
      <c r="U22" s="30"/>
      <c r="V22" s="30"/>
    </row>
    <row r="23" spans="2:22" s="26" customFormat="1" ht="134.25" customHeight="1">
      <c r="B23" s="167">
        <f t="shared" si="0"/>
        <v>9</v>
      </c>
      <c r="C23" s="166" t="str">
        <f>+IFERROR(INDEX(Hoja1!$A$2:$A$82,MATCH(J23,Hoja1!$H$2:$H$82,0)),"")</f>
        <v>2.3</v>
      </c>
      <c r="D23" s="163" t="str">
        <f>IFERROR(VLOOKUP(C23,Hoja1!$A$2:$H$82,4,0),"")</f>
        <v>Ambiente de Control</v>
      </c>
      <c r="E23" s="76" t="str">
        <f>+IFERROR(VLOOKUP(C23,Hoja1!$A$1:$J$82,10,0),"")</f>
        <v xml:space="preserve">Aplicación de mecanismos para ejercer una adecuada supervisión del Sistema de Control Interno </v>
      </c>
      <c r="F23" s="76" t="str">
        <f>+IFERROR(VLOOKUP(C23,Hoja1!$A$1:$I$82,3,0),"")</f>
        <v xml:space="preserve"> Definición de líneas de reporte en temas clave para la toma de decisiones, atendiendo el Esquema de Líneas de Defens</v>
      </c>
      <c r="G23" s="75">
        <f>+IFERROR(VLOOKUP(C23,Hoja1!$A$1:$K$82,11,0),"")</f>
        <v>3</v>
      </c>
      <c r="H23" s="77">
        <f>+IFERROR(VLOOKUP(C23,Hoja1!$A$1:$L$82,12,0),"")</f>
        <v>3</v>
      </c>
      <c r="I23" s="71" t="str">
        <f t="shared" si="1"/>
        <v>Se encuentra presente y funciona correctamente, por lo tanto se requiere acciones o actividades  dirigidas a su mantenimiento dentro del marco de las lineas de defensa.</v>
      </c>
      <c r="J23" s="43">
        <v>9</v>
      </c>
      <c r="K23" s="131">
        <f>+VLOOKUP(C23,Hoja1!$A$1:$M$82,13,0)</f>
        <v>1</v>
      </c>
      <c r="L23" s="872"/>
      <c r="M23" s="115"/>
      <c r="N23" s="115" t="s">
        <v>530</v>
      </c>
      <c r="O23" s="129" t="s">
        <v>517</v>
      </c>
      <c r="P23" s="129" t="s">
        <v>518</v>
      </c>
      <c r="Q23" s="129" t="s">
        <v>519</v>
      </c>
      <c r="R23" s="185">
        <v>1</v>
      </c>
      <c r="S23" s="141"/>
      <c r="T23" s="141">
        <v>1</v>
      </c>
      <c r="U23" s="141"/>
      <c r="V23" s="138" t="s">
        <v>531</v>
      </c>
    </row>
    <row r="24" spans="2:22" s="26" customFormat="1" ht="99.75" customHeight="1">
      <c r="B24" s="164">
        <f t="shared" si="0"/>
        <v>10</v>
      </c>
      <c r="C24" s="166" t="str">
        <f>+IFERROR(INDEX(Hoja1!$A$2:$A$82,MATCH(J24,Hoja1!$H$2:$H$82,0)),"")</f>
        <v>3.2</v>
      </c>
      <c r="D24" s="163" t="str">
        <f>IFERROR(VLOOKUP(C24,Hoja1!$A$2:$H$82,4,0),"")</f>
        <v>Ambiente de Control</v>
      </c>
      <c r="E24" s="76" t="str">
        <f>+IFERROR(VLOOKUP(C24,Hoja1!$A$1:$J$82,10,0),"")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4" s="76" t="str">
        <f>+IFERROR(VLOOKUP(C24,Hoja1!$A$1:$I$82,3,0),"")</f>
        <v xml:space="preserve"> La Alta Dirección frente a la política de Administración del Riesgo definen los niveles de aceptación del riesgo, teniendo en cuenta cada uno de los objetivos establecidos.</v>
      </c>
      <c r="G24" s="75">
        <f>+IFERROR(VLOOKUP(C24,Hoja1!$A$1:$K$82,11,0),"")</f>
        <v>3</v>
      </c>
      <c r="H24" s="77">
        <f>+IFERROR(VLOOKUP(C24,Hoja1!$A$1:$L$82,12,0),"")</f>
        <v>3</v>
      </c>
      <c r="I24" s="71" t="str">
        <f t="shared" si="1"/>
        <v>Se encuentra presente y funciona correctamente, por lo tanto se requiere acciones o actividades  dirigidas a su mantenimiento dentro del marco de las lineas de defensa.</v>
      </c>
      <c r="J24" s="43">
        <v>10</v>
      </c>
      <c r="K24" s="131">
        <f>+VLOOKUP(C24,Hoja1!$A$1:$M$82,13,0)</f>
        <v>1</v>
      </c>
      <c r="L24" s="872"/>
      <c r="M24" s="144"/>
      <c r="N24" s="115" t="s">
        <v>532</v>
      </c>
      <c r="O24" s="129" t="s">
        <v>517</v>
      </c>
      <c r="P24" s="129" t="s">
        <v>518</v>
      </c>
      <c r="Q24" s="129" t="s">
        <v>519</v>
      </c>
      <c r="R24" s="185">
        <v>1</v>
      </c>
      <c r="S24" s="141"/>
      <c r="T24" s="141">
        <v>1</v>
      </c>
      <c r="U24" s="141"/>
      <c r="V24" s="138" t="s">
        <v>531</v>
      </c>
    </row>
    <row r="25" spans="2:22" s="26" customFormat="1" ht="99.75" customHeight="1">
      <c r="B25" s="167">
        <f t="shared" si="0"/>
        <v>11</v>
      </c>
      <c r="C25" s="166" t="str">
        <f>+IFERROR(INDEX(Hoja1!$A$2:$A$82,MATCH(J25,Hoja1!$H$2:$H$82,0)),"")</f>
        <v>3.3</v>
      </c>
      <c r="D25" s="163" t="str">
        <f>IFERROR(VLOOKUP(C25,Hoja1!$A$2:$H$82,4,0),"")</f>
        <v>Ambiente de Control</v>
      </c>
      <c r="E25" s="76" t="str">
        <f>+IFERROR(VLOOKUP(C25,Hoja1!$A$1:$J$82,10,0),"")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5" s="76" t="str">
        <f>+IFERROR(VLOOKUP(C25,Hoja1!$A$1:$I$82,3,0),"")</f>
        <v xml:space="preserve"> Evaluación de la planeación estratégica, considerando alertas frente a posibles incumplimientos, necesidades de recursos, cambios en el entorno que puedan afectar su desarrollo, entre otros aspectos que garanticen de forma razonable su cumplimiento</v>
      </c>
      <c r="G25" s="75">
        <f>+IFERROR(VLOOKUP(C25,Hoja1!$A$1:$K$82,11,0),"")</f>
        <v>3</v>
      </c>
      <c r="H25" s="77">
        <f>+IFERROR(VLOOKUP(C25,Hoja1!$A$1:$L$82,12,0),"")</f>
        <v>3</v>
      </c>
      <c r="I25" s="71" t="str">
        <f t="shared" si="1"/>
        <v>Se encuentra presente y funciona correctamente, por lo tanto se requiere acciones o actividades  dirigidas a su mantenimiento dentro del marco de las lineas de defensa.</v>
      </c>
      <c r="J25" s="43">
        <v>11</v>
      </c>
      <c r="K25" s="131">
        <f>+VLOOKUP(C25,Hoja1!$A$1:$M$82,13,0)</f>
        <v>1</v>
      </c>
      <c r="L25" s="872"/>
      <c r="M25" s="30"/>
      <c r="N25" s="30"/>
      <c r="O25" s="30"/>
      <c r="P25" s="129"/>
      <c r="Q25" s="30"/>
      <c r="R25" s="188"/>
      <c r="S25" s="30"/>
      <c r="T25" s="30"/>
      <c r="U25" s="30"/>
      <c r="V25" s="30"/>
    </row>
    <row r="26" spans="2:22" s="26" customFormat="1" ht="99.75" customHeight="1">
      <c r="B26" s="164">
        <f t="shared" si="0"/>
        <v>12</v>
      </c>
      <c r="C26" s="166" t="str">
        <f>+IFERROR(INDEX(Hoja1!$A$2:$A$82,MATCH(J26,Hoja1!$H$2:$H$82,0)),"")</f>
        <v>4.1</v>
      </c>
      <c r="D26" s="163" t="str">
        <f>IFERROR(VLOOKUP(C26,Hoja1!$A$2:$H$82,4,0),"")</f>
        <v>Ambiente de Control</v>
      </c>
      <c r="E26" s="76" t="str">
        <f>+IFERROR(VLOOKUP(C26,Hoja1!$A$1:$J$82,10,0),"")</f>
        <v>Compromiso con la competencia de todo el personal, por lo que la gestión del talento humano tiene un carácter estratégico con el despliegue de actividades clave para todo el ciclo de vida del servidor público –ingreso, permanencia y retiro.</v>
      </c>
      <c r="F26" s="76" t="str">
        <f>+IFERROR(VLOOKUP(C26,Hoja1!$A$1:$I$82,3,0),"")</f>
        <v xml:space="preserve"> Evaluación de la Planeación Estratégica del Talento Humano</v>
      </c>
      <c r="G26" s="75">
        <f>+IFERROR(VLOOKUP(C26,Hoja1!$A$1:$K$82,11,0),"")</f>
        <v>3</v>
      </c>
      <c r="H26" s="77">
        <f>+IFERROR(VLOOKUP(C26,Hoja1!$A$1:$L$82,12,0),"")</f>
        <v>3</v>
      </c>
      <c r="I26" s="71" t="str">
        <f t="shared" si="1"/>
        <v>Se encuentra presente y funciona correctamente, por lo tanto se requiere acciones o actividades  dirigidas a su mantenimiento dentro del marco de las lineas de defensa.</v>
      </c>
      <c r="J26" s="43">
        <v>12</v>
      </c>
      <c r="K26" s="131">
        <f>+VLOOKUP(C26,Hoja1!$A$1:$M$82,13,0)</f>
        <v>1</v>
      </c>
      <c r="L26" s="872"/>
      <c r="M26" s="115"/>
      <c r="N26" s="144" t="s">
        <v>533</v>
      </c>
      <c r="O26" s="128" t="s">
        <v>517</v>
      </c>
      <c r="P26" s="129" t="s">
        <v>518</v>
      </c>
      <c r="Q26" s="128" t="s">
        <v>521</v>
      </c>
      <c r="R26" s="189">
        <v>1</v>
      </c>
      <c r="S26" s="151"/>
      <c r="T26" s="151">
        <v>1</v>
      </c>
      <c r="U26" s="151"/>
      <c r="V26" s="145" t="s">
        <v>869</v>
      </c>
    </row>
    <row r="27" spans="2:22" s="26" customFormat="1" ht="99.75" customHeight="1">
      <c r="B27" s="167">
        <f t="shared" si="0"/>
        <v>13</v>
      </c>
      <c r="C27" s="166" t="str">
        <f>+IFERROR(INDEX(Hoja1!$A$2:$A$82,MATCH(J27,Hoja1!$H$2:$H$82,0)),"")</f>
        <v>4.2</v>
      </c>
      <c r="D27" s="163" t="str">
        <f>IFERROR(VLOOKUP(C27,Hoja1!$A$2:$H$82,4,0),"")</f>
        <v>Ambiente de Control</v>
      </c>
      <c r="E27" s="76" t="str">
        <f>+IFERROR(VLOOKUP(C27,Hoja1!$A$1:$J$82,10,0),"")</f>
        <v>Compromiso con la competencia de todo el personal, por lo que la gestión del talento humano tiene un carácter estratégico con el despliegue de actividades clave para todo el ciclo de vida del servidor público –ingreso, permanencia y retiro.</v>
      </c>
      <c r="F27" s="76" t="str">
        <f>+IFERROR(VLOOKUP(C27,Hoja1!$A$1:$I$82,3,0),"")</f>
        <v xml:space="preserve"> Evaluación de las actividades relacionadas con el Ingreso del personal</v>
      </c>
      <c r="G27" s="75">
        <f>+IFERROR(VLOOKUP(C27,Hoja1!$A$1:$K$82,11,0),"")</f>
        <v>3</v>
      </c>
      <c r="H27" s="77">
        <f>+IFERROR(VLOOKUP(C27,Hoja1!$A$1:$L$82,12,0),"")</f>
        <v>3</v>
      </c>
      <c r="I27" s="71" t="str">
        <f t="shared" si="1"/>
        <v>Se encuentra presente y funciona correctamente, por lo tanto se requiere acciones o actividades  dirigidas a su mantenimiento dentro del marco de las lineas de defensa.</v>
      </c>
      <c r="J27" s="43">
        <v>13</v>
      </c>
      <c r="K27" s="131">
        <f>+VLOOKUP(C27,Hoja1!$A$1:$M$82,13,0)</f>
        <v>1</v>
      </c>
      <c r="L27" s="872"/>
      <c r="M27" s="133"/>
      <c r="N27" s="115" t="s">
        <v>534</v>
      </c>
      <c r="O27" s="129" t="s">
        <v>517</v>
      </c>
      <c r="P27" s="129" t="s">
        <v>518</v>
      </c>
      <c r="Q27" s="128" t="s">
        <v>521</v>
      </c>
      <c r="R27" s="190">
        <v>1</v>
      </c>
      <c r="S27" s="149"/>
      <c r="T27" s="149">
        <v>1</v>
      </c>
      <c r="U27" s="149"/>
      <c r="V27" s="145" t="s">
        <v>869</v>
      </c>
    </row>
    <row r="28" spans="2:22" s="26" customFormat="1" ht="99.75" customHeight="1">
      <c r="B28" s="167">
        <f t="shared" si="0"/>
        <v>14</v>
      </c>
      <c r="C28" s="166" t="str">
        <f>+IFERROR(INDEX(Hoja1!$A$2:$A$82,MATCH(J28,Hoja1!$H$2:$H$82,0)),"")</f>
        <v>4.3</v>
      </c>
      <c r="D28" s="163" t="str">
        <f>IFERROR(VLOOKUP(C28,Hoja1!$A$2:$H$82,4,0),"")</f>
        <v>Ambiente de Control</v>
      </c>
      <c r="E28" s="76" t="str">
        <f>+IFERROR(VLOOKUP(C28,Hoja1!$A$1:$J$82,10,0),"")</f>
        <v>Compromiso con la competencia de todo el personal, por lo que la gestión del talento humano tiene un carácter estratégico con el despliegue de actividades clave para todo el ciclo de vida del servidor público –ingreso, permanencia y retiro.</v>
      </c>
      <c r="F28" s="76" t="str">
        <f>+IFERROR(VLOOKUP(C28,Hoja1!$A$1:$I$82,3,0),"")</f>
        <v xml:space="preserve"> Evaluación de las actividades relacionadas con la permanencia del personal</v>
      </c>
      <c r="G28" s="75">
        <f>+IFERROR(VLOOKUP(C28,Hoja1!$A$1:$K$82,11,0),"")</f>
        <v>3</v>
      </c>
      <c r="H28" s="77">
        <f>+IFERROR(VLOOKUP(C28,Hoja1!$A$1:$L$82,12,0),"")</f>
        <v>3</v>
      </c>
      <c r="I28" s="71" t="str">
        <f t="shared" si="1"/>
        <v>Se encuentra presente y funciona correctamente, por lo tanto se requiere acciones o actividades  dirigidas a su mantenimiento dentro del marco de las lineas de defensa.</v>
      </c>
      <c r="J28" s="43">
        <v>14</v>
      </c>
      <c r="K28" s="131">
        <f>+VLOOKUP(C28,Hoja1!$A$1:$M$82,13,0)</f>
        <v>1</v>
      </c>
      <c r="L28" s="872"/>
      <c r="M28" s="134"/>
      <c r="N28" s="115" t="s">
        <v>535</v>
      </c>
      <c r="O28" s="129" t="s">
        <v>517</v>
      </c>
      <c r="P28" s="129" t="s">
        <v>518</v>
      </c>
      <c r="Q28" s="128" t="s">
        <v>521</v>
      </c>
      <c r="R28" s="190">
        <v>1</v>
      </c>
      <c r="S28" s="149"/>
      <c r="T28" s="149">
        <v>1</v>
      </c>
      <c r="U28" s="149"/>
      <c r="V28" s="145" t="s">
        <v>869</v>
      </c>
    </row>
    <row r="29" spans="2:22" s="26" customFormat="1" ht="99.75" customHeight="1">
      <c r="B29" s="167">
        <f t="shared" si="0"/>
        <v>15</v>
      </c>
      <c r="C29" s="166" t="str">
        <f>+IFERROR(INDEX(Hoja1!$A$2:$A$82,MATCH(J29,Hoja1!$H$2:$H$82,0)),"")</f>
        <v>4.4</v>
      </c>
      <c r="D29" s="163" t="str">
        <f>IFERROR(VLOOKUP(C29,Hoja1!$A$2:$H$82,4,0),"")</f>
        <v>Ambiente de Control</v>
      </c>
      <c r="E29" s="76" t="str">
        <f>+IFERROR(VLOOKUP(C29,Hoja1!$A$1:$J$82,10,0),"")</f>
        <v>Compromiso con la competencia de todo el personal, por lo que la gestión del talento humano tiene un carácter estratégico con el despliegue de actividades clave para todo el ciclo de vida del servidor público –ingreso, permanencia y retiro.</v>
      </c>
      <c r="F29" s="76" t="str">
        <f>+IFERROR(VLOOKUP(C29,Hoja1!$A$1:$I$82,3,0),"")</f>
        <v>Analizar si se cuenta con políticas claras y comunicadas relacionadas con la responsabilidad de cada servidor sobre el desarrollo y mantenimiento del control interno (1a línea de defensa</v>
      </c>
      <c r="G29" s="75">
        <f>+IFERROR(VLOOKUP(C29,Hoja1!$A$1:$K$82,11,0),"")</f>
        <v>3</v>
      </c>
      <c r="H29" s="77">
        <f>+IFERROR(VLOOKUP(C29,Hoja1!$A$1:$L$82,12,0),"")</f>
        <v>3</v>
      </c>
      <c r="I29" s="71" t="str">
        <f t="shared" si="1"/>
        <v>Se encuentra presente y funciona correctamente, por lo tanto se requiere acciones o actividades  dirigidas a su mantenimiento dentro del marco de las lineas de defensa.</v>
      </c>
      <c r="J29" s="43">
        <v>15</v>
      </c>
      <c r="K29" s="131">
        <f>+VLOOKUP(C29,Hoja1!$A$1:$M$82,13,0)</f>
        <v>1</v>
      </c>
      <c r="L29" s="872"/>
      <c r="M29" s="134"/>
      <c r="N29" s="30"/>
      <c r="O29" s="30"/>
      <c r="P29" s="30"/>
      <c r="Q29" s="30"/>
      <c r="R29" s="188"/>
      <c r="S29" s="30"/>
      <c r="T29" s="30"/>
      <c r="U29" s="30"/>
      <c r="V29" s="30"/>
    </row>
    <row r="30" spans="2:22" s="26" customFormat="1" ht="286.5" customHeight="1">
      <c r="B30" s="164">
        <f t="shared" si="0"/>
        <v>16</v>
      </c>
      <c r="C30" s="166" t="str">
        <f>+IFERROR(INDEX(Hoja1!$A$2:$A$82,MATCH(J30,Hoja1!$H$2:$H$82,0)),"")</f>
        <v>4.5</v>
      </c>
      <c r="D30" s="163" t="str">
        <f>IFERROR(VLOOKUP(C30,Hoja1!$A$2:$H$82,4,0),"")</f>
        <v>Ambiente de Control</v>
      </c>
      <c r="E30" s="76" t="str">
        <f>+IFERROR(VLOOKUP(C30,Hoja1!$A$1:$J$82,10,0),"")</f>
        <v>Compromiso con la competencia de todo el personal, por lo que la gestión del talento humano tiene un carácter estratégico con el despliegue de actividades clave para todo el ciclo de vida del servidor público –ingreso, permanencia y retiro.</v>
      </c>
      <c r="F30" s="76" t="str">
        <f>+IFERROR(VLOOKUP(C30,Hoja1!$A$1:$I$82,3,0),"")</f>
        <v xml:space="preserve"> Evaluación de las actividades relacionadas con el retiro del personal</v>
      </c>
      <c r="G30" s="75">
        <f>+IFERROR(VLOOKUP(C30,Hoja1!$A$1:$K$82,11,0),"")</f>
        <v>3</v>
      </c>
      <c r="H30" s="77">
        <f>+IFERROR(VLOOKUP(C30,Hoja1!$A$1:$L$82,12,0),"")</f>
        <v>3</v>
      </c>
      <c r="I30" s="71" t="str">
        <f t="shared" si="1"/>
        <v>Se encuentra presente y funciona correctamente, por lo tanto se requiere acciones o actividades  dirigidas a su mantenimiento dentro del marco de las lineas de defensa.</v>
      </c>
      <c r="J30" s="43">
        <v>16</v>
      </c>
      <c r="K30" s="131">
        <f>+VLOOKUP(C30,Hoja1!$A$1:$M$82,13,0)</f>
        <v>1</v>
      </c>
      <c r="L30" s="872"/>
      <c r="M30" s="134" t="s">
        <v>536</v>
      </c>
      <c r="N30" s="144" t="s">
        <v>537</v>
      </c>
      <c r="O30" s="128" t="s">
        <v>517</v>
      </c>
      <c r="P30" s="128" t="s">
        <v>518</v>
      </c>
      <c r="Q30" s="128" t="s">
        <v>521</v>
      </c>
      <c r="R30" s="191">
        <v>1</v>
      </c>
      <c r="T30" s="183">
        <v>1</v>
      </c>
      <c r="U30" s="183"/>
      <c r="V30" s="145" t="s">
        <v>870</v>
      </c>
    </row>
    <row r="31" spans="2:22" s="26" customFormat="1" ht="99.75" customHeight="1">
      <c r="B31" s="167">
        <f t="shared" si="0"/>
        <v>17</v>
      </c>
      <c r="C31" s="166" t="str">
        <f>+IFERROR(INDEX(Hoja1!$A$2:$A$82,MATCH(J31,Hoja1!$H$2:$H$82,0)),"")</f>
        <v>4.6</v>
      </c>
      <c r="D31" s="163" t="str">
        <f>IFERROR(VLOOKUP(C31,Hoja1!$A$2:$H$82,4,0),"")</f>
        <v>Ambiente de Control</v>
      </c>
      <c r="E31" s="76" t="str">
        <f>+IFERROR(VLOOKUP(C31,Hoja1!$A$1:$J$82,10,0),"")</f>
        <v>Compromiso con la competencia de todo el personal, por lo que la gestión del talento humano tiene un carácter estratégico con el despliegue de actividades clave para todo el ciclo de vida del servidor público –ingreso, permanencia y retiro.</v>
      </c>
      <c r="F31" s="76" t="str">
        <f>+IFERROR(VLOOKUP(C31,Hoja1!$A$1:$I$82,3,0),"")</f>
        <v xml:space="preserve"> Evaluar el impacto del Plan Institucional de Capacitación - PI</v>
      </c>
      <c r="G31" s="75">
        <f>+IFERROR(VLOOKUP(C31,Hoja1!$A$1:$K$82,11,0),"")</f>
        <v>3</v>
      </c>
      <c r="H31" s="77">
        <f>+IFERROR(VLOOKUP(C31,Hoja1!$A$1:$L$82,12,0),"")</f>
        <v>3</v>
      </c>
      <c r="I31" s="71" t="str">
        <f t="shared" si="1"/>
        <v>Se encuentra presente y funciona correctamente, por lo tanto se requiere acciones o actividades  dirigidas a su mantenimiento dentro del marco de las lineas de defensa.</v>
      </c>
      <c r="J31" s="43">
        <v>17</v>
      </c>
      <c r="K31" s="131">
        <f>+VLOOKUP(C31,Hoja1!$A$1:$M$82,13,0)</f>
        <v>1</v>
      </c>
      <c r="L31" s="872"/>
      <c r="M31" s="115"/>
      <c r="N31" s="115"/>
      <c r="O31" s="30"/>
      <c r="P31" s="129"/>
      <c r="Q31" s="30"/>
      <c r="R31" s="192"/>
      <c r="S31" s="136"/>
      <c r="T31" s="136"/>
      <c r="U31" s="136"/>
      <c r="V31" s="138"/>
    </row>
    <row r="32" spans="2:22" s="26" customFormat="1" ht="99.75" customHeight="1">
      <c r="B32" s="164">
        <f t="shared" si="0"/>
        <v>18</v>
      </c>
      <c r="C32" s="166" t="str">
        <f>+IFERROR(INDEX(Hoja1!$A$2:$A$82,MATCH(J32,Hoja1!$H$2:$H$82,0)),"")</f>
        <v>5.1</v>
      </c>
      <c r="D32" s="163" t="str">
        <f>IFERROR(VLOOKUP(C32,Hoja1!$A$2:$H$82,4,0),"")</f>
        <v>Ambiente de Control</v>
      </c>
      <c r="E32" s="76" t="str">
        <f>+IFERROR(VLOOKUP(C32,Hoja1!$A$1:$J$82,10,0),"")</f>
        <v>La entidad establece líneas de reporte dentro de la entidad para evaluar el funcionamiento del Sistema de Control Interno.</v>
      </c>
      <c r="F32" s="76" t="str">
        <f>+IFERROR(VLOOKUP(C32,Hoja1!$A$1:$I$82,3,0),"")</f>
        <v xml:space="preserve"> Acorde con la estructura del Esquema de Líneas de Defensa se han definido estándares de reporte, periodicidad y responsables frente a diferentes temas críticos de la entidad</v>
      </c>
      <c r="G32" s="75">
        <f>+IFERROR(VLOOKUP(C32,Hoja1!$A$1:$K$82,11,0),"")</f>
        <v>3</v>
      </c>
      <c r="H32" s="77">
        <f>+IFERROR(VLOOKUP(C32,Hoja1!$A$1:$L$82,12,0),"")</f>
        <v>3</v>
      </c>
      <c r="I32" s="71" t="str">
        <f t="shared" si="1"/>
        <v>Se encuentra presente y funciona correctamente, por lo tanto se requiere acciones o actividades  dirigidas a su mantenimiento dentro del marco de las lineas de defensa.</v>
      </c>
      <c r="J32" s="43">
        <v>18</v>
      </c>
      <c r="K32" s="131">
        <f>+VLOOKUP(C32,Hoja1!$A$1:$M$82,13,0)</f>
        <v>1</v>
      </c>
      <c r="L32" s="872"/>
      <c r="M32" s="134" t="s">
        <v>538</v>
      </c>
      <c r="N32" s="115" t="s">
        <v>539</v>
      </c>
      <c r="O32" s="129" t="s">
        <v>517</v>
      </c>
      <c r="P32" s="129" t="s">
        <v>518</v>
      </c>
      <c r="Q32" s="128" t="s">
        <v>519</v>
      </c>
      <c r="R32" s="185">
        <v>1</v>
      </c>
      <c r="S32" s="141"/>
      <c r="T32" s="141">
        <v>1</v>
      </c>
      <c r="U32" s="141"/>
      <c r="V32" s="115" t="s">
        <v>871</v>
      </c>
    </row>
    <row r="33" spans="1:23" s="26" customFormat="1" ht="99.75" customHeight="1">
      <c r="B33" s="167">
        <f t="shared" si="0"/>
        <v>19</v>
      </c>
      <c r="C33" s="166" t="str">
        <f>+IFERROR(INDEX(Hoja1!$A$2:$A$82,MATCH(J33,Hoja1!$H$2:$H$82,0)),"")</f>
        <v>5.2</v>
      </c>
      <c r="D33" s="163" t="str">
        <f>IFERROR(VLOOKUP(C33,Hoja1!$A$2:$H$82,4,0),"")</f>
        <v>Ambiente de Control</v>
      </c>
      <c r="E33" s="76" t="str">
        <f>+IFERROR(VLOOKUP(C33,Hoja1!$A$1:$J$82,10,0),"")</f>
        <v>La entidad establece líneas de reporte dentro de la entidad para evaluar el funcionamiento del Sistema de Control Interno.</v>
      </c>
      <c r="F33" s="76" t="str">
        <f>+IFERROR(VLOOKUP(C33,Hoja1!$A$1:$I$82,3,0),"")</f>
        <v xml:space="preserve"> La Alta Dirección analiza la información asociada con la generación de reportes financieros</v>
      </c>
      <c r="G33" s="75">
        <f>+IFERROR(VLOOKUP(C33,Hoja1!$A$1:$K$82,11,0),"")</f>
        <v>3</v>
      </c>
      <c r="H33" s="77">
        <f>+IFERROR(VLOOKUP(C33,Hoja1!$A$1:$L$82,12,0),"")</f>
        <v>3</v>
      </c>
      <c r="I33" s="71" t="str">
        <f t="shared" si="1"/>
        <v>Se encuentra presente y funciona correctamente, por lo tanto se requiere acciones o actividades  dirigidas a su mantenimiento dentro del marco de las lineas de defensa.</v>
      </c>
      <c r="J33" s="43">
        <v>19</v>
      </c>
      <c r="K33" s="131">
        <f>+VLOOKUP(C33,Hoja1!$A$1:$M$82,13,0)</f>
        <v>1</v>
      </c>
      <c r="L33" s="872"/>
      <c r="M33" s="115"/>
      <c r="N33" s="115"/>
      <c r="O33" s="30"/>
      <c r="P33" s="129"/>
      <c r="Q33" s="30"/>
      <c r="R33" s="192"/>
      <c r="S33" s="136"/>
      <c r="T33" s="136"/>
      <c r="U33" s="136"/>
      <c r="V33" s="138"/>
    </row>
    <row r="34" spans="1:23" s="26" customFormat="1" ht="99.75" customHeight="1">
      <c r="B34" s="167">
        <f t="shared" si="0"/>
        <v>20</v>
      </c>
      <c r="C34" s="166" t="str">
        <f>+IFERROR(INDEX(Hoja1!$A$2:$A$82,MATCH(J34,Hoja1!$H$2:$H$82,0)),"")</f>
        <v>5.3</v>
      </c>
      <c r="D34" s="163" t="str">
        <f>IFERROR(VLOOKUP(C34,Hoja1!$A$2:$H$82,4,0),"")</f>
        <v>Ambiente de Control</v>
      </c>
      <c r="E34" s="76" t="str">
        <f>+IFERROR(VLOOKUP(C34,Hoja1!$A$1:$J$82,10,0),"")</f>
        <v>La entidad establece líneas de reporte dentro de la entidad para evaluar el funcionamiento del Sistema de Control Interno.</v>
      </c>
      <c r="F34" s="76" t="str">
        <f>+IFERROR(VLOOKUP(C34,Hoja1!$A$1:$I$82,3,0),"")</f>
        <v xml:space="preserve"> Teniendo en cuenta la información suministrada por la 2a y 3a línea de defensa se toman decisiones a tiempo para garantizar el cumplimiento de las metas y objetivos</v>
      </c>
      <c r="G34" s="75">
        <f>+IFERROR(VLOOKUP(C34,Hoja1!$A$1:$K$82,11,0),"")</f>
        <v>3</v>
      </c>
      <c r="H34" s="77">
        <f>+IFERROR(VLOOKUP(C34,Hoja1!$A$1:$L$82,12,0),"")</f>
        <v>3</v>
      </c>
      <c r="I34" s="71" t="str">
        <f t="shared" si="1"/>
        <v>Se encuentra presente y funciona correctamente, por lo tanto se requiere acciones o actividades  dirigidas a su mantenimiento dentro del marco de las lineas de defensa.</v>
      </c>
      <c r="J34" s="43">
        <v>20</v>
      </c>
      <c r="K34" s="131">
        <f>+VLOOKUP(C34,Hoja1!$A$1:$M$82,13,0)</f>
        <v>1</v>
      </c>
      <c r="L34" s="872"/>
      <c r="M34" s="115"/>
      <c r="N34" s="115"/>
      <c r="O34" s="30"/>
      <c r="P34" s="129"/>
      <c r="Q34" s="30"/>
      <c r="R34" s="192"/>
      <c r="S34" s="136"/>
      <c r="T34" s="136"/>
      <c r="U34" s="136"/>
      <c r="V34" s="138"/>
    </row>
    <row r="35" spans="1:23" s="26" customFormat="1" ht="99.75" customHeight="1">
      <c r="B35" s="167">
        <f t="shared" si="0"/>
        <v>21</v>
      </c>
      <c r="C35" s="166" t="str">
        <f>+IFERROR(INDEX(Hoja1!$A$2:$A$82,MATCH(J35,Hoja1!$H$2:$H$82,0)),"")</f>
        <v>5.4</v>
      </c>
      <c r="D35" s="163" t="str">
        <f>IFERROR(VLOOKUP(C35,Hoja1!$A$2:$H$82,4,0),"")</f>
        <v>Ambiente de Control</v>
      </c>
      <c r="E35" s="76" t="str">
        <f>+IFERROR(VLOOKUP(C35,Hoja1!$A$1:$J$82,10,0),"")</f>
        <v>La entidad establece líneas de reporte dentro de la entidad para evaluar el funcionamiento del Sistema de Control Interno.</v>
      </c>
      <c r="F35" s="76" t="str">
        <f>+IFERROR(VLOOKUP(C35,Hoja1!$A$1:$I$82,3,0),"")</f>
        <v xml:space="preserve"> Se evalúa la estructura de control a partir de los cambios en procesos, procedimientos, u otras herramientas, a fin de garantizar su adecuada formulación y afectación frente a la gestión del riesgo</v>
      </c>
      <c r="G35" s="75">
        <f>+IFERROR(VLOOKUP(C35,Hoja1!$A$1:$K$82,11,0),"")</f>
        <v>3</v>
      </c>
      <c r="H35" s="77">
        <f>+IFERROR(VLOOKUP(C35,Hoja1!$A$1:$L$82,12,0),"")</f>
        <v>3</v>
      </c>
      <c r="I35" s="71" t="str">
        <f t="shared" si="1"/>
        <v>Se encuentra presente y funciona correctamente, por lo tanto se requiere acciones o actividades  dirigidas a su mantenimiento dentro del marco de las lineas de defensa.</v>
      </c>
      <c r="J35" s="43">
        <v>21</v>
      </c>
      <c r="K35" s="131">
        <f>+VLOOKUP(C35,Hoja1!$A$1:$M$82,13,0)</f>
        <v>1</v>
      </c>
      <c r="L35" s="872"/>
      <c r="M35" s="115"/>
      <c r="N35" s="115"/>
      <c r="O35" s="30"/>
      <c r="P35" s="129"/>
      <c r="Q35" s="30"/>
      <c r="R35" s="192"/>
      <c r="S35" s="136"/>
      <c r="T35" s="136"/>
      <c r="U35" s="136"/>
      <c r="V35" s="138"/>
    </row>
    <row r="36" spans="1:23" s="26" customFormat="1" ht="99.75" customHeight="1">
      <c r="B36" s="164">
        <f t="shared" si="0"/>
        <v>22</v>
      </c>
      <c r="C36" s="166" t="str">
        <f>+IFERROR(INDEX(Hoja1!$A$2:$A$82,MATCH(J36,Hoja1!$H$2:$H$82,0)),"")</f>
        <v>5.5</v>
      </c>
      <c r="D36" s="163" t="str">
        <f>IFERROR(VLOOKUP(C36,Hoja1!$A$2:$H$82,4,0),"")</f>
        <v>Ambiente de Control</v>
      </c>
      <c r="E36" s="76" t="str">
        <f>+IFERROR(VLOOKUP(C36,Hoja1!$A$1:$J$82,10,0),"")</f>
        <v>La entidad establece líneas de reporte dentro de la entidad para evaluar el funcionamiento del Sistema de Control Interno.</v>
      </c>
      <c r="F36" s="76" t="str">
        <f>+IFERROR(VLOOKUP(C36,Hoja1!$A$1:$I$82,3,0),"")</f>
        <v xml:space="preserve"> La entidad aprueba y hace seguimiento al Plan Anual de Auditoría presentado y ejecutado por parte de la Oficina de Control Interno</v>
      </c>
      <c r="G36" s="75">
        <f>+IFERROR(VLOOKUP(C36,Hoja1!$A$1:$K$82,11,0),"")</f>
        <v>3</v>
      </c>
      <c r="H36" s="77">
        <f>+IFERROR(VLOOKUP(C36,Hoja1!$A$1:$L$82,12,0),"")</f>
        <v>3</v>
      </c>
      <c r="I36" s="71" t="str">
        <f t="shared" si="1"/>
        <v>Se encuentra presente y funciona correctamente, por lo tanto se requiere acciones o actividades  dirigidas a su mantenimiento dentro del marco de las lineas de defensa.</v>
      </c>
      <c r="J36" s="43">
        <v>22</v>
      </c>
      <c r="K36" s="131">
        <f>+VLOOKUP(C36,Hoja1!$A$1:$M$82,13,0)</f>
        <v>1</v>
      </c>
      <c r="L36" s="872"/>
      <c r="M36" s="30"/>
      <c r="N36" s="30"/>
      <c r="O36" s="30"/>
      <c r="P36" s="129"/>
      <c r="Q36" s="30"/>
      <c r="R36" s="193"/>
      <c r="S36" s="30"/>
      <c r="T36" s="30"/>
      <c r="U36" s="30"/>
      <c r="V36" s="30"/>
    </row>
    <row r="37" spans="1:23" s="26" customFormat="1" ht="99.75" customHeight="1">
      <c r="B37" s="167">
        <f t="shared" si="0"/>
        <v>23</v>
      </c>
      <c r="C37" s="166" t="str">
        <f>+IFERROR(INDEX(Hoja1!$A$2:$A$82,MATCH(J37,Hoja1!$H$2:$H$82,0)),"")</f>
        <v>5.6</v>
      </c>
      <c r="D37" s="163" t="str">
        <f>IFERROR(VLOOKUP(C37,Hoja1!$A$2:$H$82,4,0),"")</f>
        <v>Ambiente de Control</v>
      </c>
      <c r="E37" s="76" t="str">
        <f>+IFERROR(VLOOKUP(C37,Hoja1!$A$1:$J$82,10,0),"")</f>
        <v>La entidad establece líneas de reporte dentro de la entidad para evaluar el funcionamiento del Sistema de Control Interno.</v>
      </c>
      <c r="F37" s="76" t="str">
        <f>+IFERROR(VLOOKUP(C37,Hoja1!$A$1:$I$82,3,0),"")</f>
        <v xml:space="preserve"> La entidad analiza los informes presentados por la Oficina de Control Interno y evalúa su impacto en relación con la mejora institucional</v>
      </c>
      <c r="G37" s="75">
        <f>+IFERROR(VLOOKUP(C37,Hoja1!$A$1:$K$82,11,0),"")</f>
        <v>3</v>
      </c>
      <c r="H37" s="77">
        <f>+IFERROR(VLOOKUP(C37,Hoja1!$A$1:$L$82,12,0),"")</f>
        <v>3</v>
      </c>
      <c r="I37" s="71" t="str">
        <f t="shared" si="1"/>
        <v>Se encuentra presente y funciona correctamente, por lo tanto se requiere acciones o actividades  dirigidas a su mantenimiento dentro del marco de las lineas de defensa.</v>
      </c>
      <c r="J37" s="43">
        <v>23</v>
      </c>
      <c r="K37" s="131">
        <f>+VLOOKUP(C37,Hoja1!$A$1:$M$82,13,0)</f>
        <v>1</v>
      </c>
      <c r="L37" s="872"/>
      <c r="M37" s="144" t="s">
        <v>540</v>
      </c>
      <c r="N37" s="146" t="s">
        <v>541</v>
      </c>
      <c r="O37" s="147" t="s">
        <v>542</v>
      </c>
      <c r="P37" s="129" t="s">
        <v>518</v>
      </c>
      <c r="Q37" s="128" t="s">
        <v>543</v>
      </c>
      <c r="R37" s="194">
        <v>1</v>
      </c>
      <c r="S37" s="136"/>
      <c r="T37" s="158">
        <v>1</v>
      </c>
      <c r="U37" s="158"/>
      <c r="V37" s="145" t="s">
        <v>872</v>
      </c>
    </row>
    <row r="38" spans="1:23" s="26" customFormat="1" ht="99.75" customHeight="1">
      <c r="B38" s="164">
        <f t="shared" si="0"/>
        <v>24</v>
      </c>
      <c r="C38" s="166" t="str">
        <f>+IFERROR(INDEX(Hoja1!$A$2:$A$82,MATCH(J38,Hoja1!$H$2:$H$82,0)),"")</f>
        <v>4.7</v>
      </c>
      <c r="D38" s="163" t="str">
        <f>IFERROR(VLOOKUP(C38,Hoja1!$A$2:$H$82,4,0),"")</f>
        <v>Ambiente de Control</v>
      </c>
      <c r="E38" s="76" t="str">
        <f>+IFERROR(VLOOKUP(C38,Hoja1!$A$1:$J$82,10,0),"")</f>
        <v>Compromiso con la competencia de todo el personal, por lo que la gestión del talento humano tiene un carácter estratégico con el despliegue de actividades clave para todo el ciclo de vida del servidor público –ingreso, permanencia y retiro.</v>
      </c>
      <c r="F38" s="76" t="str">
        <f>+IFERROR(VLOOKUP(C38,Hoja1!$A$1:$I$82,3,0),"")</f>
        <v xml:space="preserve"> Evaluación frente a los productos y servicios en los cuales participan los contratistas de apoyo</v>
      </c>
      <c r="G38" s="75">
        <f>+IFERROR(VLOOKUP(C38,Hoja1!$A$1:$K$82,11,0),"")</f>
        <v>3</v>
      </c>
      <c r="H38" s="77">
        <f>+IFERROR(VLOOKUP(C38,Hoja1!$A$1:$L$82,12,0),"")</f>
        <v>3</v>
      </c>
      <c r="I38" s="71" t="str">
        <f t="shared" si="1"/>
        <v>Se encuentra presente y funciona correctamente, por lo tanto se requiere acciones o actividades  dirigidas a su mantenimiento dentro del marco de las lineas de defensa.</v>
      </c>
      <c r="J38" s="43">
        <v>24</v>
      </c>
      <c r="K38" s="131">
        <f>+VLOOKUP(C38,Hoja1!$A$1:$M$82,13,0)</f>
        <v>1</v>
      </c>
      <c r="L38" s="873"/>
      <c r="M38" s="133"/>
      <c r="N38" s="146"/>
      <c r="O38" s="147"/>
      <c r="P38" s="129"/>
      <c r="Q38" s="128"/>
      <c r="R38" s="192"/>
      <c r="S38" s="136"/>
      <c r="T38" s="158"/>
      <c r="U38" s="158"/>
      <c r="V38" s="145"/>
    </row>
    <row r="39" spans="1:23" s="300" customFormat="1" ht="114.75">
      <c r="A39" s="26"/>
      <c r="B39" s="167">
        <f t="shared" si="0"/>
        <v>25</v>
      </c>
      <c r="C39" s="166" t="str">
        <f>+IFERROR(INDEX(Hoja1!$A$2:$A$82,MATCH(J39,Hoja1!$H$2:$H$82,0)),"")</f>
        <v>8.1</v>
      </c>
      <c r="D39" s="163" t="str">
        <f>IFERROR(VLOOKUP(C39,Hoja1!$A$2:$H$82,4,0),"")</f>
        <v>Evaluación de riesgos</v>
      </c>
      <c r="E39" s="76" t="str">
        <f>+IFERROR(VLOOKUP(C39,Hoja1!$A$1:$J$82,10,0),"")</f>
        <v xml:space="preserve">Evaluación del riesgo de fraude o corrupción. 
Cumplimiento artículo 73 de la Ley 1474 de 2011, relacionado con la prevención de los riesgos de corrupción.
</v>
      </c>
      <c r="F39" s="76" t="str">
        <f>+IFERROR(VLOOKUP(C39,Hoja1!$A$1:$I$82,3,0),"")</f>
        <v xml:space="preserve"> La Alta Dirección acorde con el análisis del entorno interno y externo, define los procesos, programas o proyectos (según aplique), susceptibles de posibles actos de corrupción</v>
      </c>
      <c r="G39" s="75">
        <f>+IFERROR(VLOOKUP(C39,Hoja1!$A$1:$K$82,11,0),"")</f>
        <v>3</v>
      </c>
      <c r="H39" s="77">
        <f>+IFERROR(VLOOKUP(C39,Hoja1!$A$1:$L$82,12,0),"")</f>
        <v>2</v>
      </c>
      <c r="I39" s="71" t="str">
        <f t="shared" si="1"/>
        <v>Se encuentra presente y funcionando, pero requiere acciones dirigidas a fortalecer  o mejorar su diseño y/o ejecucion.</v>
      </c>
      <c r="J39" s="306">
        <v>25</v>
      </c>
      <c r="K39" s="130">
        <f>+VLOOKUP(C39,Hoja1!$A$1:$M$82,13,0)</f>
        <v>0.5</v>
      </c>
      <c r="L39" s="874">
        <f>+AVERAGE(K39:K55)</f>
        <v>0.91176470588235292</v>
      </c>
      <c r="M39" s="134" t="s">
        <v>545</v>
      </c>
      <c r="N39" s="115" t="s">
        <v>840</v>
      </c>
      <c r="O39" s="129" t="s">
        <v>517</v>
      </c>
      <c r="P39" s="129" t="s">
        <v>518</v>
      </c>
      <c r="Q39" s="128" t="s">
        <v>519</v>
      </c>
      <c r="R39" s="195">
        <v>0.5</v>
      </c>
      <c r="S39" s="195"/>
      <c r="T39" s="141">
        <v>0.5</v>
      </c>
      <c r="U39" s="141">
        <v>0.5</v>
      </c>
      <c r="V39" s="295" t="s">
        <v>873</v>
      </c>
      <c r="W39" s="26"/>
    </row>
    <row r="40" spans="1:23" s="26" customFormat="1" ht="99.75" customHeight="1">
      <c r="B40" s="167">
        <f t="shared" si="0"/>
        <v>26</v>
      </c>
      <c r="C40" s="166" t="str">
        <f>+IFERROR(INDEX(Hoja1!$A$2:$A$82,MATCH(J40,Hoja1!$H$2:$H$82,0)),"")</f>
        <v>8.2</v>
      </c>
      <c r="D40" s="163" t="str">
        <f>IFERROR(VLOOKUP(C40,Hoja1!$A$2:$H$82,4,0),"")</f>
        <v>Evaluación de riesgos</v>
      </c>
      <c r="E40" s="76" t="str">
        <f>+IFERROR(VLOOKUP(C40,Hoja1!$A$1:$J$82,10,0),"")</f>
        <v xml:space="preserve">Evaluación del riesgo de fraude o corrupción. 
Cumplimiento artículo 73 de la Ley 1474 de 2011, relacionado con la prevención de los riesgos de corrupción.
</v>
      </c>
      <c r="F40" s="76" t="str">
        <f>+IFERROR(VLOOKUP(C40,Hoja1!$A$1:$I$82,3,0),"")</f>
        <v xml:space="preserve"> La Alta Dirección monitorea los riesgos de corrupción con la periodicidad establecida en la Política de Administración del Riesgo</v>
      </c>
      <c r="G40" s="75">
        <f>+IFERROR(VLOOKUP(C40,Hoja1!$A$1:$K$82,11,0),"")</f>
        <v>3</v>
      </c>
      <c r="H40" s="77">
        <f>+IFERROR(VLOOKUP(C40,Hoja1!$A$1:$L$82,12,0),"")</f>
        <v>2</v>
      </c>
      <c r="I40" s="71" t="str">
        <f t="shared" si="1"/>
        <v>Se encuentra presente y funcionando, pero requiere acciones dirigidas a fortalecer  o mejorar su diseño y/o ejecucion.</v>
      </c>
      <c r="J40" s="306">
        <v>26</v>
      </c>
      <c r="K40" s="131">
        <f>+VLOOKUP(C40,Hoja1!$A$1:$M$82,13,0)</f>
        <v>0.5</v>
      </c>
      <c r="L40" s="872"/>
      <c r="M40" s="134" t="s">
        <v>545</v>
      </c>
      <c r="N40" s="115" t="s">
        <v>546</v>
      </c>
      <c r="O40" s="129" t="s">
        <v>517</v>
      </c>
      <c r="P40" s="129" t="s">
        <v>518</v>
      </c>
      <c r="Q40" s="128" t="s">
        <v>519</v>
      </c>
      <c r="R40" s="195">
        <v>0.5</v>
      </c>
      <c r="S40" s="195"/>
      <c r="T40" s="141">
        <v>1</v>
      </c>
      <c r="U40" s="141"/>
      <c r="V40" s="295" t="s">
        <v>839</v>
      </c>
    </row>
    <row r="41" spans="1:23" s="26" customFormat="1" ht="99.75" customHeight="1">
      <c r="B41" s="167">
        <f t="shared" si="0"/>
        <v>27</v>
      </c>
      <c r="C41" s="166" t="str">
        <f>+IFERROR(INDEX(Hoja1!$A$2:$A$82,MATCH(J41,Hoja1!$H$2:$H$82,0)),"")</f>
        <v>8.4</v>
      </c>
      <c r="D41" s="163" t="str">
        <f>IFERROR(VLOOKUP(C41,Hoja1!$A$2:$H$82,4,0),"")</f>
        <v>Evaluación de riesgos</v>
      </c>
      <c r="E41" s="76" t="str">
        <f>+IFERROR(VLOOKUP(C41,Hoja1!$A$1:$J$82,10,0),"")</f>
        <v xml:space="preserve">Evaluación del riesgo de fraude o corrupción. 
Cumplimiento artículo 73 de la Ley 1474 de 2011, relacionado con la prevención de los riesgos de corrupción.
</v>
      </c>
      <c r="F41" s="76" t="str">
        <f>+IFERROR(VLOOKUP(C41,Hoja1!$A$1:$I$82,3,0),"")</f>
        <v xml:space="preserve"> La Alta Dirección evalúa fallas en los controles (diseño y ejecución) para definir cursos de acción apropiados para su mejora</v>
      </c>
      <c r="G41" s="75">
        <f>+IFERROR(VLOOKUP(C41,Hoja1!$A$1:$K$82,11,0),"")</f>
        <v>3</v>
      </c>
      <c r="H41" s="77">
        <f>+IFERROR(VLOOKUP(C41,Hoja1!$A$1:$L$82,12,0),"")</f>
        <v>2</v>
      </c>
      <c r="I41" s="71" t="str">
        <f t="shared" si="1"/>
        <v>Se encuentra presente y funcionando, pero requiere acciones dirigidas a fortalecer  o mejorar su diseño y/o ejecucion.</v>
      </c>
      <c r="J41" s="306">
        <v>27</v>
      </c>
      <c r="K41" s="131">
        <f>+VLOOKUP(C41,Hoja1!$A$1:$M$82,13,0)</f>
        <v>0.5</v>
      </c>
      <c r="L41" s="872"/>
      <c r="N41" s="115" t="s">
        <v>547</v>
      </c>
      <c r="O41" s="116" t="s">
        <v>517</v>
      </c>
      <c r="P41" s="129" t="s">
        <v>518</v>
      </c>
      <c r="Q41" s="128" t="s">
        <v>519</v>
      </c>
      <c r="R41" s="195">
        <v>1</v>
      </c>
      <c r="S41" s="195"/>
      <c r="T41" s="148">
        <v>1</v>
      </c>
      <c r="U41" s="148"/>
      <c r="V41" s="115" t="s">
        <v>548</v>
      </c>
    </row>
    <row r="42" spans="1:23" s="26" customFormat="1" ht="99.75" customHeight="1">
      <c r="B42" s="164">
        <f t="shared" si="0"/>
        <v>28</v>
      </c>
      <c r="C42" s="166" t="str">
        <f>+IFERROR(INDEX(Hoja1!$A$2:$A$82,MATCH(J42,Hoja1!$H$2:$H$82,0)),"")</f>
        <v>6.1</v>
      </c>
      <c r="D42" s="163" t="str">
        <f>IFERROR(VLOOKUP(C42,Hoja1!$A$2:$H$82,4,0),"")</f>
        <v>Evaluación de riesgos</v>
      </c>
      <c r="E42" s="76" t="str">
        <f>+IFERROR(VLOOKUP(C42,Hoja1!$A$1:$J$82,10,0),"")</f>
        <v xml:space="preserve">Definición de objetivos con suficiente claridad para identificar y evaluar los riesgos relacionados: i)Estratégicos; ii)Operativos; iii)Legales y Presupuestales; iv)De Información Financiera y no Financiera.
</v>
      </c>
      <c r="F42" s="76" t="str">
        <f>+IFERROR(VLOOKUP(C42,Hoja1!$A$1:$I$82,3,0),"")</f>
        <v xml:space="preserve">  La Entidad cuenta con mecanismos para vincular o relacionar el plan estratégico con los objetivos estratégicos y estos a su vez con los objetivos operativos</v>
      </c>
      <c r="G42" s="75">
        <f>+IFERROR(VLOOKUP(C42,Hoja1!$A$1:$K$82,11,0),"")</f>
        <v>3</v>
      </c>
      <c r="H42" s="77">
        <f>+IFERROR(VLOOKUP(C42,Hoja1!$A$1:$L$82,12,0),"")</f>
        <v>3</v>
      </c>
      <c r="I42" s="71" t="str">
        <f t="shared" si="1"/>
        <v>Se encuentra presente y funciona correctamente, por lo tanto se requiere acciones o actividades  dirigidas a su mantenimiento dentro del marco de las lineas de defensa.</v>
      </c>
      <c r="J42" s="306">
        <v>28</v>
      </c>
      <c r="K42" s="131">
        <f>+VLOOKUP(C42,Hoja1!$A$1:$M$82,13,0)</f>
        <v>1</v>
      </c>
      <c r="L42" s="872"/>
      <c r="M42" s="115"/>
      <c r="N42" s="30"/>
      <c r="O42" s="30"/>
      <c r="P42" s="30"/>
      <c r="Q42" s="30"/>
      <c r="R42" s="30"/>
      <c r="S42" s="30"/>
      <c r="T42" s="30"/>
      <c r="U42" s="30"/>
      <c r="V42" s="30"/>
    </row>
    <row r="43" spans="1:23" s="26" customFormat="1" ht="99.75" customHeight="1">
      <c r="B43" s="167">
        <f t="shared" si="0"/>
        <v>29</v>
      </c>
      <c r="C43" s="166" t="str">
        <f>+IFERROR(INDEX(Hoja1!$A$2:$A$82,MATCH(J43,Hoja1!$H$2:$H$82,0)),"")</f>
        <v>6.2</v>
      </c>
      <c r="D43" s="163" t="str">
        <f>IFERROR(VLOOKUP(C43,Hoja1!$A$2:$H$82,4,0),"")</f>
        <v>Evaluación de riesgos</v>
      </c>
      <c r="E43" s="76" t="str">
        <f>+IFERROR(VLOOKUP(C43,Hoja1!$A$1:$J$82,10,0),"")</f>
        <v xml:space="preserve">Definición de objetivos con suficiente claridad para identificar y evaluar los riesgos relacionados: i)Estratégicos; ii)Operativos; iii)Legales y Presupuestales; iv)De Información Financiera y no Financiera.
</v>
      </c>
      <c r="F43" s="76" t="str">
        <f>+IFERROR(VLOOKUP(C43,Hoja1!$A$1:$I$82,3,0),"")</f>
        <v xml:space="preserve"> Los objetivos de los procesos, programas o proyectos (según aplique) que están definidos, son específicos, medibles, alcanzables, relevantes, delimitados en el tiempo</v>
      </c>
      <c r="G43" s="75">
        <f>+IFERROR(VLOOKUP(C43,Hoja1!$A$1:$K$82,11,0),"")</f>
        <v>3</v>
      </c>
      <c r="H43" s="77">
        <f>+IFERROR(VLOOKUP(C43,Hoja1!$A$1:$L$82,12,0),"")</f>
        <v>3</v>
      </c>
      <c r="I43" s="71" t="str">
        <f t="shared" si="1"/>
        <v>Se encuentra presente y funciona correctamente, por lo tanto se requiere acciones o actividades  dirigidas a su mantenimiento dentro del marco de las lineas de defensa.</v>
      </c>
      <c r="J43" s="306">
        <v>29</v>
      </c>
      <c r="K43" s="131">
        <f>+VLOOKUP(C43,Hoja1!$A$1:$M$82,13,0)</f>
        <v>1</v>
      </c>
      <c r="L43" s="872"/>
      <c r="M43" s="115"/>
      <c r="N43" s="115"/>
      <c r="O43" s="30"/>
      <c r="P43" s="129"/>
      <c r="Q43" s="30"/>
      <c r="R43" s="194"/>
      <c r="S43" s="136"/>
      <c r="T43" s="136"/>
      <c r="U43" s="136"/>
      <c r="V43" s="138"/>
    </row>
    <row r="44" spans="1:23" s="26" customFormat="1" ht="99.75" customHeight="1">
      <c r="B44" s="164">
        <f t="shared" si="0"/>
        <v>30</v>
      </c>
      <c r="C44" s="166" t="str">
        <f>+IFERROR(INDEX(Hoja1!$A$2:$A$82,MATCH(J44,Hoja1!$H$2:$H$82,0)),"")</f>
        <v>6.3</v>
      </c>
      <c r="D44" s="163" t="str">
        <f>IFERROR(VLOOKUP(C44,Hoja1!$A$2:$H$82,4,0),"")</f>
        <v>Evaluación de riesgos</v>
      </c>
      <c r="E44" s="76" t="str">
        <f>+IFERROR(VLOOKUP(C44,Hoja1!$A$1:$J$82,10,0),"")</f>
        <v xml:space="preserve">Definición de objetivos con suficiente claridad para identificar y evaluar los riesgos relacionados: i)Estratégicos; ii)Operativos; iii)Legales y Presupuestales; iv)De Información Financiera y no Financiera.
</v>
      </c>
      <c r="F44" s="76" t="str">
        <f>+IFERROR(VLOOKUP(C44,Hoja1!$A$1:$I$82,3,0),"")</f>
        <v xml:space="preserve"> La Alta Dirección evalúa periódicamente los objetivos establecidos para asegurar que estos continúan siendo consistentes y apropiados para la Entidad</v>
      </c>
      <c r="G44" s="75">
        <f>+IFERROR(VLOOKUP(C44,Hoja1!$A$1:$K$82,11,0),"")</f>
        <v>3</v>
      </c>
      <c r="H44" s="77">
        <f>+IFERROR(VLOOKUP(C44,Hoja1!$A$1:$L$82,12,0),"")</f>
        <v>3</v>
      </c>
      <c r="I44" s="71" t="str">
        <f t="shared" si="1"/>
        <v>Se encuentra presente y funciona correctamente, por lo tanto se requiere acciones o actividades  dirigidas a su mantenimiento dentro del marco de las lineas de defensa.</v>
      </c>
      <c r="J44" s="306">
        <v>30</v>
      </c>
      <c r="K44" s="131">
        <f>+VLOOKUP(C44,Hoja1!$A$1:$M$82,13,0)</f>
        <v>1</v>
      </c>
      <c r="L44" s="872"/>
      <c r="M44" s="115"/>
      <c r="N44" s="115"/>
      <c r="O44" s="30"/>
      <c r="P44" s="129"/>
      <c r="Q44" s="30"/>
      <c r="R44" s="194"/>
      <c r="S44" s="136"/>
      <c r="T44" s="136"/>
      <c r="U44" s="136"/>
      <c r="V44" s="138"/>
    </row>
    <row r="45" spans="1:23" s="26" customFormat="1" ht="99.75" customHeight="1">
      <c r="B45" s="167">
        <f t="shared" si="0"/>
        <v>31</v>
      </c>
      <c r="C45" s="166" t="str">
        <f>+IFERROR(INDEX(Hoja1!$A$2:$A$82,MATCH(J45,Hoja1!$H$2:$H$82,0)),"")</f>
        <v>7.1</v>
      </c>
      <c r="D45" s="163" t="str">
        <f>IFERROR(VLOOKUP(C45,Hoja1!$A$2:$H$82,4,0),"")</f>
        <v>Evaluación de riesgos</v>
      </c>
      <c r="E45" s="76" t="str">
        <f>+IFERROR(VLOOKUP(C45,Hoja1!$A$1:$J$82,10,0),"")</f>
        <v xml:space="preserve">Identificación y análisis de riesgos (Analiza factores internos y externos; Implica a los niveles apropiados de la dirección; Determina cómo responder a los riesgos; Determina la importancia de los riesgos). </v>
      </c>
      <c r="F45" s="76" t="str">
        <f>+IFERROR(VLOOKUP(C45,Hoja1!$A$1:$I$82,3,0),"")</f>
        <v xml:space="preserve"> Teniendo en cuenta la estructura de la política de Administración del Riesgo, su alcance define lineamientos para toda la entidad, incluyendo regionales, áreas tercerizadas u otras instancias que afectan la prestación del servicio</v>
      </c>
      <c r="G45" s="75">
        <f>+IFERROR(VLOOKUP(C45,Hoja1!$A$1:$K$82,11,0),"")</f>
        <v>3</v>
      </c>
      <c r="H45" s="77">
        <f>+IFERROR(VLOOKUP(C45,Hoja1!$A$1:$L$82,12,0),"")</f>
        <v>3</v>
      </c>
      <c r="I45" s="71" t="str">
        <f t="shared" si="1"/>
        <v>Se encuentra presente y funciona correctamente, por lo tanto se requiere acciones o actividades  dirigidas a su mantenimiento dentro del marco de las lineas de defensa.</v>
      </c>
      <c r="J45" s="306">
        <v>31</v>
      </c>
      <c r="K45" s="131">
        <f>+VLOOKUP(C45,Hoja1!$A$1:$M$82,13,0)</f>
        <v>1</v>
      </c>
      <c r="L45" s="872"/>
      <c r="M45" s="115"/>
      <c r="N45" s="115"/>
      <c r="O45" s="30"/>
      <c r="P45" s="129"/>
      <c r="Q45" s="30"/>
      <c r="R45" s="192"/>
      <c r="S45" s="136"/>
      <c r="T45" s="136"/>
      <c r="U45" s="136"/>
      <c r="V45" s="138"/>
    </row>
    <row r="46" spans="1:23" s="26" customFormat="1" ht="99.75" customHeight="1">
      <c r="B46" s="167">
        <f t="shared" si="0"/>
        <v>32</v>
      </c>
      <c r="C46" s="166" t="str">
        <f>+IFERROR(INDEX(Hoja1!$A$2:$A$82,MATCH(J46,Hoja1!$H$2:$H$82,0)),"")</f>
        <v>7.2</v>
      </c>
      <c r="D46" s="163" t="str">
        <f>IFERROR(VLOOKUP(C46,Hoja1!$A$2:$H$82,4,0),"")</f>
        <v>Evaluación de riesgos</v>
      </c>
      <c r="E46" s="76" t="str">
        <f>+IFERROR(VLOOKUP(C46,Hoja1!$A$1:$J$82,10,0),"")</f>
        <v xml:space="preserve">Identificación y análisis de riesgos (Analiza factores internos y externos; Implica a los niveles apropiados de la dirección; Determina cómo responder a los riesgos; Determina la importancia de los riesgos). </v>
      </c>
      <c r="F46" s="76" t="str">
        <f>+IFERROR(VLOOKUP(C46,Hoja1!$A$1:$I$82,3,0),"")</f>
        <v xml:space="preserve"> La Oficina de Planeación, Gerencia de Riesgos (donde existan), como 2a línea de defensa, consolidan información clave frente a la gestión del riesgo</v>
      </c>
      <c r="G46" s="75">
        <f>+IFERROR(VLOOKUP(C46,Hoja1!$A$1:$K$82,11,0),"")</f>
        <v>3</v>
      </c>
      <c r="H46" s="77">
        <f>+IFERROR(VLOOKUP(C46,Hoja1!$A$1:$L$82,12,0),"")</f>
        <v>3</v>
      </c>
      <c r="I46" s="71" t="str">
        <f t="shared" si="1"/>
        <v>Se encuentra presente y funciona correctamente, por lo tanto se requiere acciones o actividades  dirigidas a su mantenimiento dentro del marco de las lineas de defensa.</v>
      </c>
      <c r="J46" s="306">
        <v>32</v>
      </c>
      <c r="K46" s="131">
        <f>+VLOOKUP(C46,Hoja1!$A$1:$M$82,13,0)</f>
        <v>1</v>
      </c>
      <c r="L46" s="872"/>
      <c r="M46" s="115"/>
      <c r="N46" s="115"/>
      <c r="O46" s="30"/>
      <c r="P46" s="129"/>
      <c r="Q46" s="30"/>
      <c r="R46" s="192"/>
      <c r="S46" s="136"/>
      <c r="T46" s="136"/>
      <c r="U46" s="136"/>
      <c r="V46" s="138"/>
    </row>
    <row r="47" spans="1:23" s="26" customFormat="1" ht="99.75" customHeight="1">
      <c r="B47" s="167">
        <f t="shared" si="0"/>
        <v>33</v>
      </c>
      <c r="C47" s="166" t="str">
        <f>+IFERROR(INDEX(Hoja1!$A$2:$A$82,MATCH(J47,Hoja1!$H$2:$H$82,0)),"")</f>
        <v>7.3</v>
      </c>
      <c r="D47" s="163" t="str">
        <f>IFERROR(VLOOKUP(C47,Hoja1!$A$2:$H$82,4,0),"")</f>
        <v>Evaluación de riesgos</v>
      </c>
      <c r="E47" s="76" t="str">
        <f>+IFERROR(VLOOKUP(C47,Hoja1!$A$1:$J$82,10,0),"")</f>
        <v xml:space="preserve">Identificación y análisis de riesgos (Analiza factores internos y externos; Implica a los niveles apropiados de la dirección; Determina cómo responder a los riesgos; Determina la importancia de los riesgos). </v>
      </c>
      <c r="F47" s="76" t="str">
        <f>+IFERROR(VLOOKUP(C47,Hoja1!$A$1:$I$82,3,0),"")</f>
        <v xml:space="preserve"> A partir de la información consolidada y reportada por la 2a línea de defensa (7.2), la Alta Dirección analiza sus resultados y en especial considera si se han presentado materializaciones de riesgo</v>
      </c>
      <c r="G47" s="75">
        <f>+IFERROR(VLOOKUP(C47,Hoja1!$A$1:$K$82,11,0),"")</f>
        <v>3</v>
      </c>
      <c r="H47" s="77">
        <f>+IFERROR(VLOOKUP(C47,Hoja1!$A$1:$L$82,12,0),"")</f>
        <v>3</v>
      </c>
      <c r="I47" s="71" t="str">
        <f t="shared" si="1"/>
        <v>Se encuentra presente y funciona correctamente, por lo tanto se requiere acciones o actividades  dirigidas a su mantenimiento dentro del marco de las lineas de defensa.</v>
      </c>
      <c r="J47" s="306">
        <v>33</v>
      </c>
      <c r="K47" s="131">
        <f>+VLOOKUP(C47,Hoja1!$A$1:$M$82,13,0)</f>
        <v>1</v>
      </c>
      <c r="L47" s="872"/>
      <c r="M47" s="115"/>
      <c r="N47" s="115"/>
      <c r="O47" s="30"/>
      <c r="P47" s="129"/>
      <c r="Q47" s="30"/>
      <c r="R47" s="192"/>
      <c r="S47" s="136"/>
      <c r="T47" s="136"/>
      <c r="U47" s="136"/>
      <c r="V47" s="138"/>
    </row>
    <row r="48" spans="1:23" s="26" customFormat="1" ht="99.75" customHeight="1">
      <c r="B48" s="164">
        <f t="shared" si="0"/>
        <v>34</v>
      </c>
      <c r="C48" s="166" t="str">
        <f>+IFERROR(INDEX(Hoja1!$A$2:$A$82,MATCH(J48,Hoja1!$H$2:$H$82,0)),"")</f>
        <v>7.4</v>
      </c>
      <c r="D48" s="163" t="str">
        <f>IFERROR(VLOOKUP(C48,Hoja1!$A$2:$H$82,4,0),"")</f>
        <v>Evaluación de riesgos</v>
      </c>
      <c r="E48" s="76" t="str">
        <f>+IFERROR(VLOOKUP(C48,Hoja1!$A$1:$J$82,10,0),"")</f>
        <v xml:space="preserve">Identificación y análisis de riesgos (Analiza factores internos y externos; Implica a los niveles apropiados de la dirección; Determina cómo responder a los riesgos; Determina la importancia de los riesgos). </v>
      </c>
      <c r="F48" s="76" t="str">
        <f>+IFERROR(VLOOKUP(C48,Hoja1!$A$1:$I$82,3,0),"")</f>
        <v xml:space="preserve"> Cuando se detectan materializaciones de riesgo, se definen los cursos de acción en relación con la revisión y actualización del mapa de riesgos correspondiente</v>
      </c>
      <c r="G48" s="75">
        <f>+IFERROR(VLOOKUP(C48,Hoja1!$A$1:$K$82,11,0),"")</f>
        <v>3</v>
      </c>
      <c r="H48" s="77">
        <f>+IFERROR(VLOOKUP(C48,Hoja1!$A$1:$L$82,12,0),"")</f>
        <v>3</v>
      </c>
      <c r="I48" s="71" t="str">
        <f t="shared" si="1"/>
        <v>Se encuentra presente y funciona correctamente, por lo tanto se requiere acciones o actividades  dirigidas a su mantenimiento dentro del marco de las lineas de defensa.</v>
      </c>
      <c r="J48" s="306">
        <v>34</v>
      </c>
      <c r="K48" s="131">
        <f>+VLOOKUP(C48,Hoja1!$A$1:$M$82,13,0)</f>
        <v>1</v>
      </c>
      <c r="L48" s="872"/>
      <c r="M48" s="115"/>
      <c r="N48" s="115"/>
      <c r="O48" s="30"/>
      <c r="P48" s="129"/>
      <c r="Q48" s="30"/>
      <c r="R48" s="192"/>
      <c r="S48" s="136"/>
      <c r="T48" s="136"/>
      <c r="U48" s="136"/>
      <c r="V48" s="138"/>
    </row>
    <row r="49" spans="2:22" s="26" customFormat="1" ht="99.75" customHeight="1">
      <c r="B49" s="167">
        <f t="shared" si="0"/>
        <v>35</v>
      </c>
      <c r="C49" s="166" t="str">
        <f>+IFERROR(INDEX(Hoja1!$A$2:$A$82,MATCH(J49,Hoja1!$H$2:$H$82,0)),"")</f>
        <v>7.5</v>
      </c>
      <c r="D49" s="163" t="str">
        <f>IFERROR(VLOOKUP(C49,Hoja1!$A$2:$H$82,4,0),"")</f>
        <v>Evaluación de riesgos</v>
      </c>
      <c r="E49" s="76" t="str">
        <f>+IFERROR(VLOOKUP(C49,Hoja1!$A$1:$J$82,10,0),"")</f>
        <v xml:space="preserve">Identificación y análisis de riesgos (Analiza factores internos y externos; Implica a los niveles apropiados de la dirección; Determina cómo responder a los riesgos; Determina la importancia de los riesgos). </v>
      </c>
      <c r="F49" s="76" t="str">
        <f>+IFERROR(VLOOKUP(C49,Hoja1!$A$1:$I$82,3,0),"")</f>
        <v xml:space="preserve"> Se llevan a cabo seguimientos a las acciones definidas para resolver materializaciones de riesgo detectadas</v>
      </c>
      <c r="G49" s="75">
        <f>+IFERROR(VLOOKUP(C49,Hoja1!$A$1:$K$82,11,0),"")</f>
        <v>3</v>
      </c>
      <c r="H49" s="77">
        <f>+IFERROR(VLOOKUP(C49,Hoja1!$A$1:$L$82,12,0),"")</f>
        <v>3</v>
      </c>
      <c r="I49" s="71" t="str">
        <f t="shared" si="1"/>
        <v>Se encuentra presente y funciona correctamente, por lo tanto se requiere acciones o actividades  dirigidas a su mantenimiento dentro del marco de las lineas de defensa.</v>
      </c>
      <c r="J49" s="306">
        <v>35</v>
      </c>
      <c r="K49" s="131">
        <f>+VLOOKUP(C49,Hoja1!$A$1:$M$82,13,0)</f>
        <v>1</v>
      </c>
      <c r="L49" s="872"/>
      <c r="M49" s="115"/>
      <c r="N49" s="115"/>
      <c r="O49" s="30"/>
      <c r="P49" s="129"/>
      <c r="Q49" s="30"/>
      <c r="R49" s="192"/>
      <c r="S49" s="136"/>
      <c r="T49" s="136"/>
      <c r="U49" s="136"/>
      <c r="V49" s="138"/>
    </row>
    <row r="50" spans="2:22" s="26" customFormat="1" ht="99.75" customHeight="1">
      <c r="B50" s="164">
        <f t="shared" si="0"/>
        <v>36</v>
      </c>
      <c r="C50" s="166" t="str">
        <f>+IFERROR(INDEX(Hoja1!$A$2:$A$82,MATCH(J50,Hoja1!$H$2:$H$82,0)),"")</f>
        <v>8.3</v>
      </c>
      <c r="D50" s="163" t="str">
        <f>IFERROR(VLOOKUP(C50,Hoja1!$A$2:$H$82,4,0),"")</f>
        <v>Evaluación de riesgos</v>
      </c>
      <c r="E50" s="76" t="str">
        <f>+IFERROR(VLOOKUP(C50,Hoja1!$A$1:$J$82,10,0),"")</f>
        <v xml:space="preserve">Evaluación del riesgo de fraude o corrupción. 
Cumplimiento artículo 73 de la Ley 1474 de 2011, relacionado con la prevención de los riesgos de corrupción.
</v>
      </c>
      <c r="F50" s="76" t="str">
        <f>+IFERROR(VLOOKUP(C50,Hoja1!$A$1:$I$82,3,0),"")</f>
        <v xml:space="preserve"> Para el desarrollo de las actividades de control, la entidad considera la adecuada división de las funciones y que éstas se encuentren segregadas en diferentes personas para reducir el riesgo de acciones fraudulentas</v>
      </c>
      <c r="G50" s="75">
        <f>+IFERROR(VLOOKUP(C50,Hoja1!$A$1:$K$82,11,0),"")</f>
        <v>3</v>
      </c>
      <c r="H50" s="77">
        <f>+IFERROR(VLOOKUP(C50,Hoja1!$A$1:$L$82,12,0),"")</f>
        <v>3</v>
      </c>
      <c r="I50" s="71" t="str">
        <f t="shared" si="1"/>
        <v>Se encuentra presente y funciona correctamente, por lo tanto se requiere acciones o actividades  dirigidas a su mantenimiento dentro del marco de las lineas de defensa.</v>
      </c>
      <c r="J50" s="306">
        <v>36</v>
      </c>
      <c r="K50" s="131">
        <f>+VLOOKUP(C50,Hoja1!$A$1:$M$82,13,0)</f>
        <v>1</v>
      </c>
      <c r="L50" s="872"/>
      <c r="M50" s="115"/>
      <c r="N50" s="115"/>
      <c r="O50" s="30"/>
      <c r="P50" s="129"/>
      <c r="Q50" s="30"/>
      <c r="R50" s="192"/>
      <c r="S50" s="136"/>
      <c r="T50" s="136"/>
      <c r="U50" s="136"/>
      <c r="V50" s="138"/>
    </row>
    <row r="51" spans="2:22" s="26" customFormat="1" ht="99.75" customHeight="1">
      <c r="B51" s="167">
        <f t="shared" si="0"/>
        <v>37</v>
      </c>
      <c r="C51" s="166" t="str">
        <f>+IFERROR(INDEX(Hoja1!$A$2:$A$82,MATCH(J51,Hoja1!$H$2:$H$82,0)),"")</f>
        <v>9.1</v>
      </c>
      <c r="D51" s="163" t="str">
        <f>IFERROR(VLOOKUP(C51,Hoja1!$A$2:$H$82,4,0),"")</f>
        <v>Evaluación de riesgos</v>
      </c>
      <c r="E51" s="76" t="str">
        <f>+IFERROR(VLOOKUP(C51,Hoja1!$A$1:$J$82,10,0),"")</f>
        <v xml:space="preserve">Identificación y análisis de cambios significativos </v>
      </c>
      <c r="F51" s="76" t="str">
        <f>+IFERROR(VLOOKUP(C51,Hoja1!$A$1:$I$82,3,0),"")</f>
        <v xml:space="preserve"> Acorde con lo establecido en la política de Administración del Riesgo, se monitorean los factores internos y externos definidos para la entidad, a fin de establecer cambios en el entorno que determinen nuevos riesgos o ajustes a los existentes</v>
      </c>
      <c r="G51" s="75">
        <f>+IFERROR(VLOOKUP(C51,Hoja1!$A$1:$K$82,11,0),"")</f>
        <v>3</v>
      </c>
      <c r="H51" s="77">
        <f>+IFERROR(VLOOKUP(C51,Hoja1!$A$1:$L$82,12,0),"")</f>
        <v>3</v>
      </c>
      <c r="I51" s="71" t="str">
        <f t="shared" si="1"/>
        <v>Se encuentra presente y funciona correctamente, por lo tanto se requiere acciones o actividades  dirigidas a su mantenimiento dentro del marco de las lineas de defensa.</v>
      </c>
      <c r="J51" s="306">
        <v>37</v>
      </c>
      <c r="K51" s="131">
        <f>+VLOOKUP(C51,Hoja1!$A$1:$M$82,13,0)</f>
        <v>1</v>
      </c>
      <c r="L51" s="872"/>
      <c r="M51" s="115"/>
      <c r="N51" s="115"/>
      <c r="O51" s="30"/>
      <c r="P51" s="129"/>
      <c r="Q51" s="30"/>
      <c r="R51" s="192"/>
      <c r="S51" s="136"/>
      <c r="T51" s="136"/>
      <c r="U51" s="136"/>
      <c r="V51" s="138"/>
    </row>
    <row r="52" spans="2:22" s="26" customFormat="1" ht="99.75" customHeight="1">
      <c r="B52" s="167">
        <f t="shared" si="0"/>
        <v>38</v>
      </c>
      <c r="C52" s="166" t="str">
        <f>+IFERROR(INDEX(Hoja1!$A$2:$A$82,MATCH(J52,Hoja1!$H$2:$H$82,0)),"")</f>
        <v>9.2</v>
      </c>
      <c r="D52" s="163" t="str">
        <f>IFERROR(VLOOKUP(C52,Hoja1!$A$2:$H$82,4,0),"")</f>
        <v>Evaluación de riesgos</v>
      </c>
      <c r="E52" s="76" t="str">
        <f>+IFERROR(VLOOKUP(C52,Hoja1!$A$1:$J$82,10,0),"")</f>
        <v xml:space="preserve">Identificación y análisis de cambios significativos </v>
      </c>
      <c r="F52" s="76" t="str">
        <f>+IFERROR(VLOOKUP(C52,Hoja1!$A$1:$I$82,3,0),"")</f>
        <v xml:space="preserve"> La Alta Dirección analiza los riesgos asociados a actividades tercerizadas, regionales u otras figuras externas que afecten la prestación del servicio a los usuarios, basados en los informes de la segunda y tercera línea de defensa</v>
      </c>
      <c r="G52" s="75">
        <f>+IFERROR(VLOOKUP(C52,Hoja1!$A$1:$K$82,11,0),"")</f>
        <v>3</v>
      </c>
      <c r="H52" s="77">
        <f>+IFERROR(VLOOKUP(C52,Hoja1!$A$1:$L$82,12,0),"")</f>
        <v>3</v>
      </c>
      <c r="I52" s="71" t="str">
        <f t="shared" si="1"/>
        <v>Se encuentra presente y funciona correctamente, por lo tanto se requiere acciones o actividades  dirigidas a su mantenimiento dentro del marco de las lineas de defensa.</v>
      </c>
      <c r="J52" s="306">
        <v>38</v>
      </c>
      <c r="K52" s="131">
        <f>+VLOOKUP(C52,Hoja1!$A$1:$M$82,13,0)</f>
        <v>1</v>
      </c>
      <c r="L52" s="872"/>
      <c r="M52" s="115"/>
      <c r="N52" s="115"/>
      <c r="O52" s="30"/>
      <c r="P52" s="129"/>
      <c r="Q52" s="30"/>
      <c r="R52" s="192"/>
      <c r="S52" s="136"/>
      <c r="T52" s="136"/>
      <c r="U52" s="136"/>
      <c r="V52" s="138"/>
    </row>
    <row r="53" spans="2:22" s="26" customFormat="1" ht="99.75" customHeight="1">
      <c r="B53" s="167">
        <f t="shared" si="0"/>
        <v>39</v>
      </c>
      <c r="C53" s="166" t="str">
        <f>+IFERROR(INDEX(Hoja1!$A$2:$A$82,MATCH(J53,Hoja1!$H$2:$H$82,0)),"")</f>
        <v>9.3</v>
      </c>
      <c r="D53" s="163" t="str">
        <f>IFERROR(VLOOKUP(C53,Hoja1!$A$2:$H$82,4,0),"")</f>
        <v>Evaluación de riesgos</v>
      </c>
      <c r="E53" s="76" t="str">
        <f>+IFERROR(VLOOKUP(C53,Hoja1!$A$1:$J$82,10,0),"")</f>
        <v xml:space="preserve">Identificación y análisis de cambios significativos </v>
      </c>
      <c r="F53" s="76" t="str">
        <f>+IFERROR(VLOOKUP(C53,Hoja1!$A$1:$I$82,3,0),"")</f>
        <v xml:space="preserve"> La Alta Dirección monitorea los riesgos aceptados revisando que sus condiciones no hayan cambiado y definir su pertinencia para sostenerlos o ajustarlos</v>
      </c>
      <c r="G53" s="75">
        <f>+IFERROR(VLOOKUP(C53,Hoja1!$A$1:$K$82,11,0),"")</f>
        <v>3</v>
      </c>
      <c r="H53" s="77">
        <f>+IFERROR(VLOOKUP(C53,Hoja1!$A$1:$L$82,12,0),"")</f>
        <v>3</v>
      </c>
      <c r="I53" s="71" t="str">
        <f t="shared" si="1"/>
        <v>Se encuentra presente y funciona correctamente, por lo tanto se requiere acciones o actividades  dirigidas a su mantenimiento dentro del marco de las lineas de defensa.</v>
      </c>
      <c r="J53" s="306">
        <v>39</v>
      </c>
      <c r="K53" s="131">
        <f>+VLOOKUP(C53,Hoja1!$A$1:$M$82,13,0)</f>
        <v>1</v>
      </c>
      <c r="L53" s="872"/>
      <c r="M53" s="115"/>
      <c r="N53" s="115"/>
      <c r="O53" s="30"/>
      <c r="P53" s="129"/>
      <c r="Q53" s="30"/>
      <c r="R53" s="192"/>
      <c r="S53" s="136"/>
      <c r="T53" s="136"/>
      <c r="U53" s="136"/>
      <c r="V53" s="138"/>
    </row>
    <row r="54" spans="2:22" s="26" customFormat="1" ht="99.75" customHeight="1">
      <c r="B54" s="164">
        <f t="shared" si="0"/>
        <v>40</v>
      </c>
      <c r="C54" s="166" t="str">
        <f>+IFERROR(INDEX(Hoja1!$A$2:$A$82,MATCH(J54,Hoja1!$H$2:$H$82,0)),"")</f>
        <v>9.4</v>
      </c>
      <c r="D54" s="163" t="str">
        <f>IFERROR(VLOOKUP(C54,Hoja1!$A$2:$H$82,4,0),"")</f>
        <v>Evaluación de riesgos</v>
      </c>
      <c r="E54" s="76" t="str">
        <f>+IFERROR(VLOOKUP(C54,Hoja1!$A$1:$J$82,10,0),"")</f>
        <v xml:space="preserve">Identificación y análisis de cambios significativos </v>
      </c>
      <c r="F54" s="76" t="str">
        <f>+IFERROR(VLOOKUP(C54,Hoja1!$A$1:$I$82,3,0),"")</f>
        <v xml:space="preserve"> La Alta Dirección evalúa fallas en los controles (diseño y ejecución) para definir cursos de acción apropiados para su mejora, basados en los informes de la segunda y tercera línea de defensa</v>
      </c>
      <c r="G54" s="75">
        <f>+IFERROR(VLOOKUP(C54,Hoja1!$A$1:$K$82,11,0),"")</f>
        <v>3</v>
      </c>
      <c r="H54" s="77">
        <f>+IFERROR(VLOOKUP(C54,Hoja1!$A$1:$L$82,12,0),"")</f>
        <v>3</v>
      </c>
      <c r="I54" s="71" t="str">
        <f t="shared" si="1"/>
        <v>Se encuentra presente y funciona correctamente, por lo tanto se requiere acciones o actividades  dirigidas a su mantenimiento dentro del marco de las lineas de defensa.</v>
      </c>
      <c r="J54" s="306">
        <v>40</v>
      </c>
      <c r="K54" s="131">
        <f>+VLOOKUP(C54,Hoja1!$A$1:$M$82,13,0)</f>
        <v>1</v>
      </c>
      <c r="L54" s="872"/>
      <c r="M54" s="115"/>
      <c r="N54" s="115"/>
      <c r="O54" s="30"/>
      <c r="P54" s="129"/>
      <c r="Q54" s="30"/>
      <c r="R54" s="192"/>
      <c r="S54" s="136"/>
      <c r="T54" s="136"/>
      <c r="U54" s="136"/>
      <c r="V54" s="138"/>
    </row>
    <row r="55" spans="2:22" s="26" customFormat="1" ht="99.75" customHeight="1">
      <c r="B55" s="167">
        <f t="shared" si="0"/>
        <v>41</v>
      </c>
      <c r="C55" s="166" t="str">
        <f>+IFERROR(INDEX(Hoja1!$A$2:$A$82,MATCH(J55,Hoja1!$H$2:$H$82,0)),"")</f>
        <v>9.5</v>
      </c>
      <c r="D55" s="163" t="str">
        <f>IFERROR(VLOOKUP(C55,Hoja1!$A$2:$H$82,4,0),"")</f>
        <v>Evaluación de riesgos</v>
      </c>
      <c r="E55" s="76" t="str">
        <f>+IFERROR(VLOOKUP(C55,Hoja1!$A$1:$J$82,10,0),"")</f>
        <v xml:space="preserve">Identificación y análisis de cambios significativos </v>
      </c>
      <c r="F55" s="76" t="str">
        <f>+IFERROR(VLOOKUP(C55,Hoja1!$A$1:$I$82,3,0),"")</f>
        <v xml:space="preserve"> La entidad analiza el impacto sobre el control interno por cambios en los diferentes niveles organizacionales.</v>
      </c>
      <c r="G55" s="75">
        <f>+IFERROR(VLOOKUP(C55,Hoja1!$A$1:$K$82,11,0),"")</f>
        <v>3</v>
      </c>
      <c r="H55" s="77">
        <f>+IFERROR(VLOOKUP(C55,Hoja1!$A$1:$L$82,12,0),"")</f>
        <v>3</v>
      </c>
      <c r="I55" s="71" t="str">
        <f t="shared" si="1"/>
        <v>Se encuentra presente y funciona correctamente, por lo tanto se requiere acciones o actividades  dirigidas a su mantenimiento dentro del marco de las lineas de defensa.</v>
      </c>
      <c r="J55" s="306">
        <v>41</v>
      </c>
      <c r="K55" s="135">
        <f>+VLOOKUP(C55,Hoja1!$A$1:$M$82,13,0)</f>
        <v>1</v>
      </c>
      <c r="L55" s="872"/>
      <c r="M55" s="301" t="s">
        <v>549</v>
      </c>
      <c r="N55" s="295" t="s">
        <v>550</v>
      </c>
      <c r="O55" s="302" t="s">
        <v>517</v>
      </c>
      <c r="P55" s="302" t="s">
        <v>518</v>
      </c>
      <c r="Q55" s="296" t="s">
        <v>519</v>
      </c>
      <c r="R55" s="298">
        <v>0.5</v>
      </c>
      <c r="S55" s="303">
        <v>1</v>
      </c>
      <c r="T55" s="304">
        <v>1</v>
      </c>
      <c r="U55" s="304"/>
      <c r="V55" s="295" t="s">
        <v>874</v>
      </c>
    </row>
    <row r="56" spans="2:22" s="316" customFormat="1" ht="168" customHeight="1">
      <c r="B56" s="307">
        <f t="shared" si="0"/>
        <v>42</v>
      </c>
      <c r="C56" s="308" t="str">
        <f>+IFERROR(INDEX(Hoja1!$A$2:$A$82,MATCH(J56,Hoja1!$H$2:$H$82,0)),"")</f>
        <v>11.3</v>
      </c>
      <c r="D56" s="309" t="str">
        <f>IFERROR(VLOOKUP(C56,Hoja1!$A$2:$H$82,4,0),"")</f>
        <v>Actividades de control</v>
      </c>
      <c r="E56" s="310" t="str">
        <f>+IFERROR(VLOOKUP(C56,Hoja1!$A$1:$J$82,10,0),"")</f>
        <v>Seleccionar y Desarrolla controles generales sobre TI para apoyar la consecución de los objetivos .</v>
      </c>
      <c r="F56" s="310" t="str">
        <f>+IFERROR(VLOOKUP(C56,Hoja1!$A$1:$I$82,3,0),"")</f>
        <v xml:space="preserve"> Se cuenta con matrices de roles y usuarios siguiendo los principios de segregación de funciones.</v>
      </c>
      <c r="G56" s="311">
        <f>+IFERROR(VLOOKUP(C56,Hoja1!$A$1:$K$82,11,0),"")</f>
        <v>3</v>
      </c>
      <c r="H56" s="312">
        <f>+IFERROR(VLOOKUP(C56,Hoja1!$A$1:$L$82,12,0),"")</f>
        <v>2</v>
      </c>
      <c r="I56" s="313" t="str">
        <f t="shared" si="1"/>
        <v>Se encuentra presente y funcionando, pero requiere acciones dirigidas a fortalecer  o mejorar su diseño y/o ejecucion.</v>
      </c>
      <c r="J56" s="314">
        <v>42</v>
      </c>
      <c r="K56" s="286">
        <f>+VLOOKUP(C56,Hoja1!$A$1:$M$82,13,0)</f>
        <v>0.5</v>
      </c>
      <c r="L56" s="875">
        <f>+AVERAGE(K56:K67)</f>
        <v>0.875</v>
      </c>
      <c r="M56" s="295" t="s">
        <v>551</v>
      </c>
      <c r="N56" s="318" t="s">
        <v>552</v>
      </c>
      <c r="O56" s="320" t="s">
        <v>517</v>
      </c>
      <c r="P56" s="320" t="s">
        <v>518</v>
      </c>
      <c r="Q56" s="321" t="s">
        <v>543</v>
      </c>
      <c r="R56" s="322">
        <v>0.5</v>
      </c>
      <c r="S56" s="322">
        <v>0.5</v>
      </c>
      <c r="T56" s="323">
        <v>0.7</v>
      </c>
      <c r="U56" s="315"/>
      <c r="V56" s="324" t="s">
        <v>936</v>
      </c>
    </row>
    <row r="57" spans="2:22" s="316" customFormat="1" ht="99.75" customHeight="1">
      <c r="B57" s="317">
        <f t="shared" si="0"/>
        <v>43</v>
      </c>
      <c r="C57" s="308" t="str">
        <f>+IFERROR(INDEX(Hoja1!$A$2:$A$82,MATCH(J57,Hoja1!$H$2:$H$82,0)),"")</f>
        <v>12.2</v>
      </c>
      <c r="D57" s="309" t="str">
        <f>IFERROR(VLOOKUP(C57,Hoja1!$A$2:$H$82,4,0),"")</f>
        <v>Actividades de control</v>
      </c>
      <c r="E57" s="310" t="str">
        <f>+IFERROR(VLOOKUP(C57,Hoja1!$A$1:$J$82,10,0),"")</f>
        <v>Despliegue de políticas y procedimientos (Establece responsabilidades sobre la ejecución de las políticas y procedimientos; Adopta medidas correctivas; Revisa las políticas y procedimientos).</v>
      </c>
      <c r="F57" s="310" t="str">
        <f>+IFERROR(VLOOKUP(C57,Hoja1!$A$1:$I$82,3,0),"")</f>
        <v xml:space="preserve"> El diseño de controles se evalúa frente a la gestión del riesgo</v>
      </c>
      <c r="G57" s="311">
        <f>+IFERROR(VLOOKUP(C57,Hoja1!$A$1:$K$82,11,0),"")</f>
        <v>3</v>
      </c>
      <c r="H57" s="312">
        <f>+IFERROR(VLOOKUP(C57,Hoja1!$A$1:$L$82,12,0),"")</f>
        <v>2</v>
      </c>
      <c r="I57" s="313" t="str">
        <f t="shared" si="1"/>
        <v>Se encuentra presente y funcionando, pero requiere acciones dirigidas a fortalecer  o mejorar su diseño y/o ejecucion.</v>
      </c>
      <c r="J57" s="314">
        <v>43</v>
      </c>
      <c r="K57" s="286">
        <f>+VLOOKUP(C57,Hoja1!$A$1:$M$82,13,0)</f>
        <v>0.5</v>
      </c>
      <c r="L57" s="875"/>
      <c r="M57" s="319" t="s">
        <v>545</v>
      </c>
      <c r="N57" s="318" t="s">
        <v>553</v>
      </c>
      <c r="O57" s="320" t="s">
        <v>517</v>
      </c>
      <c r="P57" s="320" t="s">
        <v>518</v>
      </c>
      <c r="Q57" s="321" t="s">
        <v>519</v>
      </c>
      <c r="R57" s="322">
        <v>0.5</v>
      </c>
      <c r="S57" s="322">
        <v>0.9</v>
      </c>
      <c r="T57" s="323">
        <v>0.9</v>
      </c>
      <c r="U57" s="315"/>
      <c r="V57" s="318" t="s">
        <v>841</v>
      </c>
    </row>
    <row r="58" spans="2:22" s="26" customFormat="1" ht="99.75" customHeight="1">
      <c r="B58" s="167">
        <f t="shared" si="0"/>
        <v>44</v>
      </c>
      <c r="C58" s="166" t="str">
        <f>+IFERROR(INDEX(Hoja1!$A$2:$A$82,MATCH(J58,Hoja1!$H$2:$H$82,0)),"")</f>
        <v>12.5</v>
      </c>
      <c r="D58" s="163" t="str">
        <f>IFERROR(VLOOKUP(C58,Hoja1!$A$2:$H$82,4,0),"")</f>
        <v>Actividades de control</v>
      </c>
      <c r="E58" s="76" t="str">
        <f>+IFERROR(VLOOKUP(C58,Hoja1!$A$1:$J$82,10,0),"")</f>
        <v>Despliegue de políticas y procedimientos (Establece responsabilidades sobre la ejecución de las políticas y procedimientos; Adopta medidas correctivas; Revisa las políticas y procedimientos).</v>
      </c>
      <c r="F58" s="76" t="str">
        <f>+IFERROR(VLOOKUP(C58,Hoja1!$A$1:$I$82,3,0),"")</f>
        <v xml:space="preserve"> Se evalúa la adecuación de los controles a las especificidades de cada proceso, considerando cambios en regulaciones, estructuras internas u otros aspectos que determinen cambios en su diseño</v>
      </c>
      <c r="G58" s="75">
        <f>+IFERROR(VLOOKUP(C58,Hoja1!$A$1:$K$82,11,0),"")</f>
        <v>3</v>
      </c>
      <c r="H58" s="77">
        <f>+IFERROR(VLOOKUP(C58,Hoja1!$A$1:$L$82,12,0),"")</f>
        <v>2</v>
      </c>
      <c r="I58" s="71" t="str">
        <f t="shared" si="1"/>
        <v>Se encuentra presente y funcionando, pero requiere acciones dirigidas a fortalecer  o mejorar su diseño y/o ejecucion.</v>
      </c>
      <c r="J58" s="306">
        <v>44</v>
      </c>
      <c r="K58" s="132">
        <f>+VLOOKUP(C58,Hoja1!$A$1:$M$82,13,0)</f>
        <v>0.5</v>
      </c>
      <c r="L58" s="875"/>
      <c r="M58" s="134" t="s">
        <v>545</v>
      </c>
      <c r="N58" s="115" t="s">
        <v>554</v>
      </c>
      <c r="O58" s="129" t="s">
        <v>517</v>
      </c>
      <c r="P58" s="129" t="s">
        <v>518</v>
      </c>
      <c r="Q58" s="128" t="s">
        <v>519</v>
      </c>
      <c r="R58" s="195">
        <v>0.5</v>
      </c>
      <c r="S58" s="298">
        <v>0.9</v>
      </c>
      <c r="T58" s="141">
        <v>0.95</v>
      </c>
      <c r="U58" s="141"/>
      <c r="V58" s="295" t="s">
        <v>839</v>
      </c>
    </row>
    <row r="59" spans="2:22" s="26" customFormat="1" ht="99.75" customHeight="1">
      <c r="B59" s="167">
        <f t="shared" si="0"/>
        <v>45</v>
      </c>
      <c r="C59" s="166" t="str">
        <f>+IFERROR(INDEX(Hoja1!$A$2:$A$82,MATCH(J59,Hoja1!$H$2:$H$82,0)),"")</f>
        <v>10.1</v>
      </c>
      <c r="D59" s="163" t="str">
        <f>IFERROR(VLOOKUP(C59,Hoja1!$A$2:$H$82,4,0),"")</f>
        <v>Actividades de control</v>
      </c>
      <c r="E59" s="76" t="str">
        <f>+IFERROR(VLOOKUP(C59,Hoja1!$A$1:$J$82,10,0),"")</f>
        <v>Diseño y desarrollo de actividades de control (Integra el desarrollo de controles con la evaluación de riesgos; tiene en cuenta a qué nivel se aplican las actividades; facilita la segregación de funciones).</v>
      </c>
      <c r="F59" s="76" t="str">
        <f>+IFERROR(VLOOKUP(C59,Hoja1!$A$1:$I$82,3,0),"")</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G59" s="75">
        <f>+IFERROR(VLOOKUP(C59,Hoja1!$A$1:$K$82,11,0),"")</f>
        <v>3</v>
      </c>
      <c r="H59" s="77">
        <f>+IFERROR(VLOOKUP(C59,Hoja1!$A$1:$L$82,12,0),"")</f>
        <v>3</v>
      </c>
      <c r="I59" s="71" t="str">
        <f t="shared" si="1"/>
        <v>Se encuentra presente y funciona correctamente, por lo tanto se requiere acciones o actividades  dirigidas a su mantenimiento dentro del marco de las lineas de defensa.</v>
      </c>
      <c r="J59" s="306">
        <v>45</v>
      </c>
      <c r="K59" s="132">
        <f>+VLOOKUP(C59,Hoja1!$A$1:$M$82,13,0)</f>
        <v>1</v>
      </c>
      <c r="L59" s="875"/>
      <c r="M59" s="134" t="s">
        <v>545</v>
      </c>
      <c r="N59" s="115" t="s">
        <v>555</v>
      </c>
      <c r="O59" s="129" t="s">
        <v>517</v>
      </c>
      <c r="P59" s="129" t="s">
        <v>518</v>
      </c>
      <c r="Q59" s="128" t="s">
        <v>519</v>
      </c>
      <c r="R59" s="195">
        <v>0.5</v>
      </c>
      <c r="S59" s="298">
        <v>0.9</v>
      </c>
      <c r="T59" s="304">
        <v>1</v>
      </c>
      <c r="U59" s="304"/>
      <c r="V59" s="295" t="s">
        <v>839</v>
      </c>
    </row>
    <row r="60" spans="2:22" s="26" customFormat="1" ht="99.75" customHeight="1">
      <c r="B60" s="164">
        <f t="shared" si="0"/>
        <v>46</v>
      </c>
      <c r="C60" s="166" t="str">
        <f>+IFERROR(INDEX(Hoja1!$A$2:$A$82,MATCH(J60,Hoja1!$H$2:$H$82,0)),"")</f>
        <v>10.2</v>
      </c>
      <c r="D60" s="163" t="str">
        <f>IFERROR(VLOOKUP(C60,Hoja1!$A$2:$H$82,4,0),"")</f>
        <v>Actividades de control</v>
      </c>
      <c r="E60" s="76" t="str">
        <f>+IFERROR(VLOOKUP(C60,Hoja1!$A$1:$J$82,10,0),"")</f>
        <v>Diseño y desarrollo de actividades de control (Integra el desarrollo de controles con la evaluación de riesgos; tiene en cuenta a qué nivel se aplican las actividades; facilita la segregación de funciones).</v>
      </c>
      <c r="F60" s="76" t="str">
        <f>+IFERROR(VLOOKUP(C60,Hoja1!$A$1:$I$82,3,0),"")</f>
        <v xml:space="preserve"> Se han identificado y documentado las situaciones específicas en donde no es posible segregar adecuadamente las funciones (ej.: falta de personal, presupuesto), con el fin de definir actividades de control alternativas para cubrir los riesgos identificados.</v>
      </c>
      <c r="G60" s="75">
        <f>+IFERROR(VLOOKUP(C60,Hoja1!$A$1:$K$82,11,0),"")</f>
        <v>3</v>
      </c>
      <c r="H60" s="77">
        <f>+IFERROR(VLOOKUP(C60,Hoja1!$A$1:$L$82,12,0),"")</f>
        <v>3</v>
      </c>
      <c r="I60" s="71" t="str">
        <f t="shared" si="1"/>
        <v>Se encuentra presente y funciona correctamente, por lo tanto se requiere acciones o actividades  dirigidas a su mantenimiento dentro del marco de las lineas de defensa.</v>
      </c>
      <c r="J60" s="43">
        <v>46</v>
      </c>
      <c r="K60" s="131">
        <f>+VLOOKUP(C60,Hoja1!$A$1:$M$82,13,0)</f>
        <v>1</v>
      </c>
      <c r="L60" s="872"/>
      <c r="M60" s="115"/>
      <c r="N60" s="115"/>
      <c r="O60" s="30"/>
      <c r="P60" s="129"/>
      <c r="Q60" s="30"/>
      <c r="R60" s="192"/>
      <c r="S60" s="136"/>
      <c r="T60" s="136"/>
      <c r="U60" s="136"/>
      <c r="V60" s="138"/>
    </row>
    <row r="61" spans="2:22" s="26" customFormat="1" ht="99.75" customHeight="1">
      <c r="B61" s="167">
        <f t="shared" si="0"/>
        <v>47</v>
      </c>
      <c r="C61" s="166" t="str">
        <f>+IFERROR(INDEX(Hoja1!$A$2:$A$82,MATCH(J61,Hoja1!$H$2:$H$82,0)),"")</f>
        <v>10.3</v>
      </c>
      <c r="D61" s="163" t="str">
        <f>IFERROR(VLOOKUP(C61,Hoja1!$A$2:$H$82,4,0),"")</f>
        <v>Actividades de control</v>
      </c>
      <c r="E61" s="76" t="str">
        <f>+IFERROR(VLOOKUP(C61,Hoja1!$A$1:$J$82,10,0),"")</f>
        <v>Diseño y desarrollo de actividades de control (Integra el desarrollo de controles con la evaluación de riesgos; tiene en cuenta a qué nivel se aplican las actividades; facilita la segregación de funciones).</v>
      </c>
      <c r="F61" s="76" t="str">
        <f>+IFERROR(VLOOKUP(C61,Hoja1!$A$1:$I$82,3,0),"")</f>
        <v xml:space="preserve"> El diseño de otros  sistemas de gestión (bajo normas o estándares internacionales como la ISO), se entregan de forma adecuada a la estructura de control de la entidad</v>
      </c>
      <c r="G61" s="75">
        <f>+IFERROR(VLOOKUP(C61,Hoja1!$A$1:$K$82,11,0),"")</f>
        <v>3</v>
      </c>
      <c r="H61" s="77">
        <f>+IFERROR(VLOOKUP(C61,Hoja1!$A$1:$L$82,12,0),"")</f>
        <v>3</v>
      </c>
      <c r="I61" s="71" t="str">
        <f t="shared" si="1"/>
        <v>Se encuentra presente y funciona correctamente, por lo tanto se requiere acciones o actividades  dirigidas a su mantenimiento dentro del marco de las lineas de defensa.</v>
      </c>
      <c r="J61" s="43">
        <v>47</v>
      </c>
      <c r="K61" s="131">
        <f>+VLOOKUP(C61,Hoja1!$A$1:$M$82,13,0)</f>
        <v>1</v>
      </c>
      <c r="L61" s="872"/>
      <c r="M61" s="115"/>
      <c r="N61" s="115"/>
      <c r="O61" s="30"/>
      <c r="P61" s="129"/>
      <c r="Q61" s="30"/>
      <c r="R61" s="192"/>
      <c r="S61" s="136"/>
      <c r="T61" s="136"/>
      <c r="U61" s="136"/>
      <c r="V61" s="138"/>
    </row>
    <row r="62" spans="2:22" s="26" customFormat="1" ht="99.75" customHeight="1">
      <c r="B62" s="164">
        <f t="shared" si="0"/>
        <v>48</v>
      </c>
      <c r="C62" s="166" t="str">
        <f>+IFERROR(INDEX(Hoja1!$A$2:$A$82,MATCH(J62,Hoja1!$H$2:$H$82,0)),"")</f>
        <v>11.1</v>
      </c>
      <c r="D62" s="163" t="str">
        <f>IFERROR(VLOOKUP(C62,Hoja1!$A$2:$H$82,4,0),"")</f>
        <v>Actividades de control</v>
      </c>
      <c r="E62" s="76" t="str">
        <f>+IFERROR(VLOOKUP(C62,Hoja1!$A$1:$J$82,10,0),"")</f>
        <v>Seleccionar y Desarrolla controles generales sobre TI para apoyar la consecución de los objetivos .</v>
      </c>
      <c r="F62" s="76" t="str">
        <f>+IFERROR(VLOOKUP(C62,Hoja1!$A$1:$I$82,3,0),"")</f>
        <v xml:space="preserve"> La entidad establece actividades de control relevantes sobre las infraestructuras tecnológicas; los procesos de gestión de la seguridad y sobre los procesos de adquisición, desarrollo y mantenimiento de tecnologías</v>
      </c>
      <c r="G62" s="75">
        <f>+IFERROR(VLOOKUP(C62,Hoja1!$A$1:$K$82,11,0),"")</f>
        <v>3</v>
      </c>
      <c r="H62" s="77">
        <f>+IFERROR(VLOOKUP(C62,Hoja1!$A$1:$L$82,12,0),"")</f>
        <v>3</v>
      </c>
      <c r="I62" s="71" t="str">
        <f t="shared" si="1"/>
        <v>Se encuentra presente y funciona correctamente, por lo tanto se requiere acciones o actividades  dirigidas a su mantenimiento dentro del marco de las lineas de defensa.</v>
      </c>
      <c r="J62" s="43">
        <v>48</v>
      </c>
      <c r="K62" s="131">
        <f>+VLOOKUP(C62,Hoja1!$A$1:$M$82,13,0)</f>
        <v>1</v>
      </c>
      <c r="L62" s="872"/>
      <c r="M62" s="115"/>
      <c r="N62" s="115"/>
      <c r="O62" s="30"/>
      <c r="P62" s="129"/>
      <c r="Q62" s="30"/>
      <c r="R62" s="192"/>
      <c r="S62" s="136"/>
      <c r="T62" s="136"/>
      <c r="U62" s="136"/>
      <c r="V62" s="138"/>
    </row>
    <row r="63" spans="2:22" s="26" customFormat="1" ht="99.75" customHeight="1">
      <c r="B63" s="167">
        <f t="shared" si="0"/>
        <v>49</v>
      </c>
      <c r="C63" s="166" t="str">
        <f>+IFERROR(INDEX(Hoja1!$A$2:$A$82,MATCH(J63,Hoja1!$H$2:$H$82,0)),"")</f>
        <v>11.2</v>
      </c>
      <c r="D63" s="163" t="str">
        <f>IFERROR(VLOOKUP(C63,Hoja1!$A$2:$H$82,4,0),"")</f>
        <v>Actividades de control</v>
      </c>
      <c r="E63" s="76" t="str">
        <f>+IFERROR(VLOOKUP(C63,Hoja1!$A$1:$J$82,10,0),"")</f>
        <v>Seleccionar y Desarrolla controles generales sobre TI para apoyar la consecución de los objetivos .</v>
      </c>
      <c r="F63" s="76" t="str">
        <f>+IFERROR(VLOOKUP(C63,Hoja1!$A$1:$I$82,3,0),"")</f>
        <v xml:space="preserve">  Para los proveedores de tecnología  selecciona y desarrolla actividades de control internas sobre las actividades realizadas por el proveedor de servicios</v>
      </c>
      <c r="G63" s="75">
        <f>+IFERROR(VLOOKUP(C63,Hoja1!$A$1:$K$82,11,0),"")</f>
        <v>3</v>
      </c>
      <c r="H63" s="77">
        <f>+IFERROR(VLOOKUP(C63,Hoja1!$A$1:$L$82,12,0),"")</f>
        <v>3</v>
      </c>
      <c r="I63" s="71" t="str">
        <f t="shared" si="1"/>
        <v>Se encuentra presente y funciona correctamente, por lo tanto se requiere acciones o actividades  dirigidas a su mantenimiento dentro del marco de las lineas de defensa.</v>
      </c>
      <c r="J63" s="43">
        <v>49</v>
      </c>
      <c r="K63" s="131">
        <f>+VLOOKUP(C63,Hoja1!$A$1:$M$82,13,0)</f>
        <v>1</v>
      </c>
      <c r="L63" s="872"/>
      <c r="M63" s="115"/>
      <c r="N63" s="115"/>
      <c r="O63" s="30"/>
      <c r="P63" s="129"/>
      <c r="Q63" s="30"/>
      <c r="R63" s="192"/>
      <c r="S63" s="136"/>
      <c r="T63" s="136"/>
      <c r="U63" s="136"/>
      <c r="V63" s="138"/>
    </row>
    <row r="64" spans="2:22" s="26" customFormat="1" ht="99.75" customHeight="1">
      <c r="B64" s="167">
        <f t="shared" si="0"/>
        <v>50</v>
      </c>
      <c r="C64" s="166" t="str">
        <f>+IFERROR(INDEX(Hoja1!$A$2:$A$82,MATCH(J64,Hoja1!$H$2:$H$82,0)),"")</f>
        <v>11.4</v>
      </c>
      <c r="D64" s="163" t="str">
        <f>IFERROR(VLOOKUP(C64,Hoja1!$A$2:$H$82,4,0),"")</f>
        <v>Actividades de control</v>
      </c>
      <c r="E64" s="76" t="str">
        <f>+IFERROR(VLOOKUP(C64,Hoja1!$A$1:$J$82,10,0),"")</f>
        <v>Seleccionar y Desarrolla controles generales sobre TI para apoyar la consecución de los objetivos .</v>
      </c>
      <c r="F64" s="76" t="str">
        <f>+IFERROR(VLOOKUP(C64,Hoja1!$A$1:$I$82,3,0),"")</f>
        <v xml:space="preserve"> Se cuenta con información de la 3a línea de defensa, como evaluador independiente en relación con los controles implementados por el proveedor de servicios, para  asegurar que los riesgos relacionados se mitigan.</v>
      </c>
      <c r="G64" s="75">
        <f>+IFERROR(VLOOKUP(C64,Hoja1!$A$1:$K$82,11,0),"")</f>
        <v>3</v>
      </c>
      <c r="H64" s="77">
        <f>+IFERROR(VLOOKUP(C64,Hoja1!$A$1:$L$82,12,0),"")</f>
        <v>3</v>
      </c>
      <c r="I64" s="71" t="str">
        <f t="shared" si="1"/>
        <v>Se encuentra presente y funciona correctamente, por lo tanto se requiere acciones o actividades  dirigidas a su mantenimiento dentro del marco de las lineas de defensa.</v>
      </c>
      <c r="J64" s="43">
        <v>50</v>
      </c>
      <c r="K64" s="131">
        <f>+VLOOKUP(C64,Hoja1!$A$1:$M$82,13,0)</f>
        <v>1</v>
      </c>
      <c r="L64" s="872"/>
      <c r="M64" s="115"/>
      <c r="N64" s="115"/>
      <c r="O64" s="30"/>
      <c r="P64" s="129"/>
      <c r="Q64" s="30"/>
      <c r="R64" s="192"/>
      <c r="S64" s="136"/>
      <c r="T64" s="136"/>
      <c r="U64" s="136"/>
      <c r="V64" s="138"/>
    </row>
    <row r="65" spans="2:22" s="26" customFormat="1" ht="99.75" customHeight="1">
      <c r="B65" s="167">
        <f t="shared" si="0"/>
        <v>51</v>
      </c>
      <c r="C65" s="166" t="str">
        <f>+IFERROR(INDEX(Hoja1!$A$2:$A$82,MATCH(J65,Hoja1!$H$2:$H$82,0)),"")</f>
        <v>12.1</v>
      </c>
      <c r="D65" s="163" t="str">
        <f>IFERROR(VLOOKUP(C65,Hoja1!$A$2:$H$82,4,0),"")</f>
        <v>Actividades de control</v>
      </c>
      <c r="E65" s="76" t="str">
        <f>+IFERROR(VLOOKUP(C65,Hoja1!$A$1:$J$82,10,0),"")</f>
        <v>Despliegue de políticas y procedimientos (Establece responsabilidades sobre la ejecución de las políticas y procedimientos; Adopta medidas correctivas; Revisa las políticas y procedimientos).</v>
      </c>
      <c r="F65" s="76" t="str">
        <f>+IFERROR(VLOOKUP(C65,Hoja1!$A$1:$I$82,3,0),"")</f>
        <v xml:space="preserve"> Se evalúa la actualización de procesos, procedimientos, políticas de operación, instructivos, manuales u otras herramientas para garantizar la aplicación adecuada de las principales actividades de control.
</v>
      </c>
      <c r="G65" s="75">
        <f>+IFERROR(VLOOKUP(C65,Hoja1!$A$1:$K$82,11,0),"")</f>
        <v>3</v>
      </c>
      <c r="H65" s="77">
        <f>+IFERROR(VLOOKUP(C65,Hoja1!$A$1:$L$82,12,0),"")</f>
        <v>3</v>
      </c>
      <c r="I65" s="71" t="str">
        <f t="shared" si="1"/>
        <v>Se encuentra presente y funciona correctamente, por lo tanto se requiere acciones o actividades  dirigidas a su mantenimiento dentro del marco de las lineas de defensa.</v>
      </c>
      <c r="J65" s="43">
        <v>51</v>
      </c>
      <c r="K65" s="131">
        <f>+VLOOKUP(C65,Hoja1!$A$1:$M$82,13,0)</f>
        <v>1</v>
      </c>
      <c r="L65" s="872"/>
      <c r="M65" s="115"/>
      <c r="N65" s="115"/>
      <c r="O65" s="30"/>
      <c r="P65" s="129"/>
      <c r="Q65" s="30"/>
      <c r="R65" s="192"/>
      <c r="S65" s="136"/>
      <c r="T65" s="136"/>
      <c r="U65" s="136"/>
      <c r="V65" s="138"/>
    </row>
    <row r="66" spans="2:22" s="26" customFormat="1" ht="99.75" customHeight="1">
      <c r="B66" s="164">
        <f t="shared" si="0"/>
        <v>52</v>
      </c>
      <c r="C66" s="166" t="str">
        <f>+IFERROR(INDEX(Hoja1!$A$2:$A$82,MATCH(J66,Hoja1!$H$2:$H$82,0)),"")</f>
        <v>12.3</v>
      </c>
      <c r="D66" s="163" t="str">
        <f>IFERROR(VLOOKUP(C66,Hoja1!$A$2:$H$82,4,0),"")</f>
        <v>Actividades de control</v>
      </c>
      <c r="E66" s="76" t="str">
        <f>+IFERROR(VLOOKUP(C66,Hoja1!$A$1:$J$82,10,0),"")</f>
        <v>Despliegue de políticas y procedimientos (Establece responsabilidades sobre la ejecución de las políticas y procedimientos; Adopta medidas correctivas; Revisa las políticas y procedimientos).</v>
      </c>
      <c r="F66" s="76" t="str">
        <f>+IFERROR(VLOOKUP(C66,Hoja1!$A$1:$I$82,3,0),"")</f>
        <v xml:space="preserve"> Monitoreo a los riesgos acorde con la política de administración de riesgo establecida para la entidad.</v>
      </c>
      <c r="G66" s="75">
        <f>+IFERROR(VLOOKUP(C66,Hoja1!$A$1:$K$82,11,0),"")</f>
        <v>3</v>
      </c>
      <c r="H66" s="77">
        <f>+IFERROR(VLOOKUP(C66,Hoja1!$A$1:$L$82,12,0),"")</f>
        <v>3</v>
      </c>
      <c r="I66" s="71" t="str">
        <f t="shared" si="1"/>
        <v>Se encuentra presente y funciona correctamente, por lo tanto se requiere acciones o actividades  dirigidas a su mantenimiento dentro del marco de las lineas de defensa.</v>
      </c>
      <c r="J66" s="43">
        <v>52</v>
      </c>
      <c r="K66" s="131">
        <f>+VLOOKUP(C66,Hoja1!$A$1:$M$82,13,0)</f>
        <v>1</v>
      </c>
      <c r="L66" s="872"/>
      <c r="M66" s="115"/>
      <c r="N66" s="115"/>
      <c r="O66" s="30"/>
      <c r="P66" s="129"/>
      <c r="Q66" s="30"/>
      <c r="R66" s="192"/>
      <c r="S66" s="136"/>
      <c r="T66" s="136"/>
      <c r="U66" s="136"/>
      <c r="V66" s="138"/>
    </row>
    <row r="67" spans="2:22" s="26" customFormat="1" ht="99.75" customHeight="1">
      <c r="B67" s="167">
        <f t="shared" si="0"/>
        <v>53</v>
      </c>
      <c r="C67" s="166" t="str">
        <f>+IFERROR(INDEX(Hoja1!$A$2:$A$82,MATCH(J67,Hoja1!$H$2:$H$82,0)),"")</f>
        <v>12.4</v>
      </c>
      <c r="D67" s="163" t="str">
        <f>IFERROR(VLOOKUP(C67,Hoja1!$A$2:$H$82,4,0),"")</f>
        <v>Actividades de control</v>
      </c>
      <c r="E67" s="76" t="str">
        <f>+IFERROR(VLOOKUP(C67,Hoja1!$A$1:$J$82,10,0),"")</f>
        <v>Despliegue de políticas y procedimientos (Establece responsabilidades sobre la ejecución de las políticas y procedimientos; Adopta medidas correctivas; Revisa las políticas y procedimientos).</v>
      </c>
      <c r="F67" s="76" t="str">
        <f>+IFERROR(VLOOKUP(C67,Hoja1!$A$1:$I$82,3,0),"")</f>
        <v>Verificación de que los responsables estén ejecutando los controles tal como han sido diseñados</v>
      </c>
      <c r="G67" s="75">
        <f>+IFERROR(VLOOKUP(C67,Hoja1!$A$1:$K$82,11,0),"")</f>
        <v>3</v>
      </c>
      <c r="H67" s="77">
        <f>+IFERROR(VLOOKUP(C67,Hoja1!$A$1:$L$82,12,0),"")</f>
        <v>3</v>
      </c>
      <c r="I67" s="71" t="str">
        <f t="shared" si="1"/>
        <v>Se encuentra presente y funciona correctamente, por lo tanto se requiere acciones o actividades  dirigidas a su mantenimiento dentro del marco de las lineas de defensa.</v>
      </c>
      <c r="J67" s="43">
        <v>53</v>
      </c>
      <c r="K67" s="135">
        <f>+VLOOKUP(C67,Hoja1!$A$1:$M$82,13,0)</f>
        <v>1</v>
      </c>
      <c r="L67" s="872"/>
      <c r="M67" s="115"/>
      <c r="N67" s="115"/>
      <c r="O67" s="30"/>
      <c r="P67" s="129"/>
      <c r="Q67" s="30"/>
      <c r="R67" s="192"/>
      <c r="S67" s="136"/>
      <c r="T67" s="136"/>
      <c r="U67" s="136"/>
      <c r="V67" s="138"/>
    </row>
    <row r="68" spans="2:22" s="26" customFormat="1" ht="114.75" customHeight="1">
      <c r="B68" s="164">
        <f t="shared" si="0"/>
        <v>54</v>
      </c>
      <c r="C68" s="166" t="str">
        <f>+IFERROR(INDEX(Hoja1!$A$2:$A$82,MATCH(J68,Hoja1!$H$2:$H$82,0)),"")</f>
        <v>13.4</v>
      </c>
      <c r="D68" s="163" t="str">
        <f>IFERROR(VLOOKUP(C68,Hoja1!$A$2:$H$82,4,0),"")</f>
        <v>Info y Comunicación</v>
      </c>
      <c r="E68" s="76" t="str">
        <f>+IFERROR(VLOOKUP(C68,Hoja1!$A$1:$J$82,10,0),"")</f>
        <v>Utilización de información relevante (Identifica requisitos de información; Capta fuentes de datos internas y externas; Procesa datos relevantes y los transforma en información).</v>
      </c>
      <c r="F68" s="76" t="str">
        <f>+IFERROR(VLOOKUP(C68,Hoja1!$A$1:$I$82,3,0),"")</f>
        <v>La entidad ha desarrollado e implementado actividades de control sobre la integridad, confidencialidad y disponibilidad de los datos e información definidos como relevantes</v>
      </c>
      <c r="G68" s="75">
        <f>+IFERROR(VLOOKUP(C68,Hoja1!$A$1:$K$82,11,0),"")</f>
        <v>3</v>
      </c>
      <c r="H68" s="77">
        <f>+IFERROR(VLOOKUP(C68,Hoja1!$A$1:$L$82,12,0),"")</f>
        <v>2</v>
      </c>
      <c r="I68" s="71" t="str">
        <f t="shared" si="1"/>
        <v>Se encuentra presente y funcionando, pero requiere acciones dirigidas a fortalecer  o mejorar su diseño y/o ejecucion.</v>
      </c>
      <c r="J68" s="306">
        <v>54</v>
      </c>
      <c r="K68" s="286">
        <f>+VLOOKUP(C68,Hoja1!$A$1:$M$82,13,0)</f>
        <v>0.5</v>
      </c>
      <c r="L68" s="875">
        <f>+AVERAGE(K68:K81)</f>
        <v>0.9642857142857143</v>
      </c>
      <c r="M68" s="115" t="s">
        <v>556</v>
      </c>
      <c r="N68" s="115" t="s">
        <v>557</v>
      </c>
      <c r="O68" s="129" t="s">
        <v>517</v>
      </c>
      <c r="P68" s="202" t="s">
        <v>558</v>
      </c>
      <c r="Q68" s="129" t="s">
        <v>559</v>
      </c>
      <c r="R68" s="195">
        <v>0.9</v>
      </c>
      <c r="S68" s="195">
        <v>0.9</v>
      </c>
      <c r="T68" s="141">
        <v>0.9</v>
      </c>
      <c r="U68" s="141">
        <v>0.9</v>
      </c>
      <c r="V68" s="299" t="s">
        <v>842</v>
      </c>
    </row>
    <row r="69" spans="2:22" s="26" customFormat="1" ht="174" customHeight="1">
      <c r="B69" s="167">
        <f t="shared" si="0"/>
        <v>55</v>
      </c>
      <c r="C69" s="166" t="str">
        <f>+IFERROR(INDEX(Hoja1!$A$2:$A$82,MATCH(J69,Hoja1!$H$2:$H$82,0)),"")</f>
        <v>13.1</v>
      </c>
      <c r="D69" s="163" t="str">
        <f>IFERROR(VLOOKUP(C69,Hoja1!$A$2:$H$82,4,0),"")</f>
        <v>Info y Comunicación</v>
      </c>
      <c r="E69" s="76" t="str">
        <f>+IFERROR(VLOOKUP(C69,Hoja1!$A$1:$J$82,10,0),"")</f>
        <v>Utilización de información relevante (Identifica requisitos de información; Capta fuentes de datos internas y externas; Procesa datos relevantes y los transforma en información).</v>
      </c>
      <c r="F69" s="76" t="str">
        <f>+IFERROR(VLOOKUP(C69,Hoja1!$A$1:$I$82,3,0),"")</f>
        <v>La entidad ha diseñado sistemas de información para capturar y procesar datos y transformarlos en información para alcanzar los requerimientos de información definidos</v>
      </c>
      <c r="G69" s="75">
        <f>+IFERROR(VLOOKUP(C69,Hoja1!$A$1:$K$82,11,0),"")</f>
        <v>3</v>
      </c>
      <c r="H69" s="77">
        <f>+IFERROR(VLOOKUP(C69,Hoja1!$A$1:$L$82,12,0),"")</f>
        <v>3</v>
      </c>
      <c r="I69" s="71" t="str">
        <f t="shared" si="1"/>
        <v>Se encuentra presente y funciona correctamente, por lo tanto se requiere acciones o actividades  dirigidas a su mantenimiento dentro del marco de las lineas de defensa.</v>
      </c>
      <c r="J69" s="306">
        <v>55</v>
      </c>
      <c r="K69" s="286">
        <f>+VLOOKUP(C69,Hoja1!$A$1:$M$82,13,0)</f>
        <v>1</v>
      </c>
      <c r="L69" s="875"/>
      <c r="M69" s="115" t="s">
        <v>560</v>
      </c>
      <c r="N69" s="325" t="s">
        <v>561</v>
      </c>
      <c r="O69" s="129" t="s">
        <v>517</v>
      </c>
      <c r="P69" s="202" t="s">
        <v>562</v>
      </c>
      <c r="Q69" s="129" t="s">
        <v>563</v>
      </c>
      <c r="R69" s="195">
        <v>0.65</v>
      </c>
      <c r="S69" s="195">
        <v>0.9</v>
      </c>
      <c r="T69" s="141">
        <v>0.9</v>
      </c>
      <c r="U69" s="141">
        <v>0.9</v>
      </c>
      <c r="V69" s="299" t="s">
        <v>882</v>
      </c>
    </row>
    <row r="70" spans="2:22" s="26" customFormat="1" ht="99.75" customHeight="1">
      <c r="B70" s="167">
        <f t="shared" si="0"/>
        <v>56</v>
      </c>
      <c r="C70" s="166" t="str">
        <f>+IFERROR(INDEX(Hoja1!$A$2:$A$82,MATCH(J70,Hoja1!$H$2:$H$82,0)),"")</f>
        <v>13.2</v>
      </c>
      <c r="D70" s="163" t="str">
        <f>IFERROR(VLOOKUP(C70,Hoja1!$A$2:$H$82,4,0),"")</f>
        <v>Info y Comunicación</v>
      </c>
      <c r="E70" s="76" t="str">
        <f>+IFERROR(VLOOKUP(C70,Hoja1!$A$1:$J$82,10,0),"")</f>
        <v>Utilización de información relevante (Identifica requisitos de información; Capta fuentes de datos internas y externas; Procesa datos relevantes y los transforma en información).</v>
      </c>
      <c r="F70" s="76" t="str">
        <f>+IFERROR(VLOOKUP(C70,Hoja1!$A$1:$I$82,3,0),"")</f>
        <v xml:space="preserve"> La entidad cuenta con el inventario de información relevante (interno/externa) y cuenta con un mecanismo que permita su actualización</v>
      </c>
      <c r="G70" s="75">
        <f>+IFERROR(VLOOKUP(C70,Hoja1!$A$1:$K$82,11,0),"")</f>
        <v>3</v>
      </c>
      <c r="H70" s="77">
        <f>+IFERROR(VLOOKUP(C70,Hoja1!$A$1:$L$82,12,0),"")</f>
        <v>3</v>
      </c>
      <c r="I70" s="71" t="str">
        <f t="shared" si="1"/>
        <v>Se encuentra presente y funciona correctamente, por lo tanto se requiere acciones o actividades  dirigidas a su mantenimiento dentro del marco de las lineas de defensa.</v>
      </c>
      <c r="J70" s="43">
        <v>56</v>
      </c>
      <c r="K70" s="131">
        <f>+VLOOKUP(C70,Hoja1!$A$1:$M$82,13,0)</f>
        <v>1</v>
      </c>
      <c r="L70" s="872"/>
      <c r="M70" s="115"/>
      <c r="N70" s="115"/>
      <c r="O70" s="30"/>
      <c r="P70" s="129"/>
      <c r="Q70" s="30"/>
      <c r="R70" s="192"/>
      <c r="S70" s="136"/>
      <c r="T70" s="136"/>
      <c r="U70" s="136"/>
      <c r="V70" s="138"/>
    </row>
    <row r="71" spans="2:22" s="26" customFormat="1" ht="99.75" customHeight="1">
      <c r="B71" s="167">
        <f t="shared" si="0"/>
        <v>57</v>
      </c>
      <c r="C71" s="166" t="str">
        <f>+IFERROR(INDEX(Hoja1!$A$2:$A$82,MATCH(J71,Hoja1!$H$2:$H$82,0)),"")</f>
        <v>13.3</v>
      </c>
      <c r="D71" s="163" t="str">
        <f>IFERROR(VLOOKUP(C71,Hoja1!$A$2:$H$82,4,0),"")</f>
        <v>Info y Comunicación</v>
      </c>
      <c r="E71" s="76" t="str">
        <f>+IFERROR(VLOOKUP(C71,Hoja1!$A$1:$J$82,10,0),"")</f>
        <v>Utilización de información relevante (Identifica requisitos de información; Capta fuentes de datos internas y externas; Procesa datos relevantes y los transforma en información).</v>
      </c>
      <c r="F71" s="76" t="str">
        <f>+IFERROR(VLOOKUP(C71,Hoja1!$A$1:$I$82,3,0),"")</f>
        <v>La entidad considera un ámbito amplio de fuentes de datos (internas y externas), para la captura y procesamiento posterior de información clave para la consecución de metas y objetivos</v>
      </c>
      <c r="G71" s="75">
        <f>+IFERROR(VLOOKUP(C71,Hoja1!$A$1:$K$82,11,0),"")</f>
        <v>3</v>
      </c>
      <c r="H71" s="77">
        <f>+IFERROR(VLOOKUP(C71,Hoja1!$A$1:$L$82,12,0),"")</f>
        <v>3</v>
      </c>
      <c r="I71" s="71" t="str">
        <f t="shared" si="1"/>
        <v>Se encuentra presente y funciona correctamente, por lo tanto se requiere acciones o actividades  dirigidas a su mantenimiento dentro del marco de las lineas de defensa.</v>
      </c>
      <c r="J71" s="43">
        <v>57</v>
      </c>
      <c r="K71" s="131">
        <f>+VLOOKUP(C71,Hoja1!$A$1:$M$82,13,0)</f>
        <v>1</v>
      </c>
      <c r="L71" s="872"/>
      <c r="M71" s="115"/>
      <c r="N71" s="115"/>
      <c r="O71" s="30"/>
      <c r="P71" s="129"/>
      <c r="Q71" s="30"/>
      <c r="R71" s="192"/>
      <c r="S71" s="136"/>
      <c r="T71" s="136"/>
      <c r="U71" s="136"/>
      <c r="V71" s="138"/>
    </row>
    <row r="72" spans="2:22" s="26" customFormat="1" ht="99.75" customHeight="1">
      <c r="B72" s="164">
        <f t="shared" si="0"/>
        <v>58</v>
      </c>
      <c r="C72" s="166" t="str">
        <f>+IFERROR(INDEX(Hoja1!$A$2:$A$82,MATCH(J72,Hoja1!$H$2:$H$82,0)),"")</f>
        <v>14.1</v>
      </c>
      <c r="D72" s="163" t="str">
        <f>IFERROR(VLOOKUP(C72,Hoja1!$A$2:$H$82,4,0),"")</f>
        <v>Info y Comunicación</v>
      </c>
      <c r="E72" s="76" t="str">
        <f>+IFERROR(VLOOKUP(C72,Hoja1!$A$1:$J$82,10,0),"")</f>
        <v>Comunicación Interna (Se comunica con el Comité Institucional de Coordinación de Control Interno o su equivalente; Facilita líneas de comunicación en todos los niveles; Selecciona el método de comunicación pertinente).</v>
      </c>
      <c r="F72" s="76" t="str">
        <f>+IFERROR(VLOOKUP(C72,Hoja1!$A$1:$I$82,3,0),"")</f>
        <v>Para la comunicación interna la Alta Dirección tiene mecanismos que permitan dar a conocer los objetivos y metas estratégicas, de manera tal que todo el personal entiende su papel en su consecución. (Considera los canales más apropiados y evalúa su efectividad)</v>
      </c>
      <c r="G72" s="75">
        <f>+IFERROR(VLOOKUP(C72,Hoja1!$A$1:$K$82,11,0),"")</f>
        <v>3</v>
      </c>
      <c r="H72" s="77">
        <f>+IFERROR(VLOOKUP(C72,Hoja1!$A$1:$L$82,12,0),"")</f>
        <v>3</v>
      </c>
      <c r="I72" s="71" t="str">
        <f t="shared" si="1"/>
        <v>Se encuentra presente y funciona correctamente, por lo tanto se requiere acciones o actividades  dirigidas a su mantenimiento dentro del marco de las lineas de defensa.</v>
      </c>
      <c r="J72" s="43">
        <v>58</v>
      </c>
      <c r="K72" s="131">
        <f>+VLOOKUP(C72,Hoja1!$A$1:$M$82,13,0)</f>
        <v>1</v>
      </c>
      <c r="L72" s="872"/>
      <c r="M72" s="115"/>
      <c r="N72" s="115"/>
      <c r="O72" s="30"/>
      <c r="P72" s="129"/>
      <c r="Q72" s="30"/>
      <c r="R72" s="192"/>
      <c r="S72" s="136"/>
      <c r="T72" s="136"/>
      <c r="U72" s="136"/>
      <c r="V72" s="138"/>
    </row>
    <row r="73" spans="2:22" s="26" customFormat="1" ht="99.75" customHeight="1">
      <c r="B73" s="167">
        <f t="shared" si="0"/>
        <v>59</v>
      </c>
      <c r="C73" s="166" t="str">
        <f>+IFERROR(INDEX(Hoja1!$A$2:$A$82,MATCH(J73,Hoja1!$H$2:$H$82,0)),"")</f>
        <v>14.2</v>
      </c>
      <c r="D73" s="163" t="str">
        <f>IFERROR(VLOOKUP(C73,Hoja1!$A$2:$H$82,4,0),"")</f>
        <v>Info y Comunicación</v>
      </c>
      <c r="E73" s="76" t="str">
        <f>+IFERROR(VLOOKUP(C73,Hoja1!$A$1:$J$82,10,0),"")</f>
        <v>Comunicación Interna (Se comunica con el Comité Institucional de Coordinación de Control Interno o su equivalente; Facilita líneas de comunicación en todos los niveles; Selecciona el método de comunicación pertinente).</v>
      </c>
      <c r="F73" s="76" t="str">
        <f>+IFERROR(VLOOKUP(C73,Hoja1!$A$1:$I$82,3,0),"")</f>
        <v>La entidad cuenta con políticas de operación relacionadas con la administración de la información (niveles de autoridad y responsabilidad</v>
      </c>
      <c r="G73" s="75">
        <f>+IFERROR(VLOOKUP(C73,Hoja1!$A$1:$K$82,11,0),"")</f>
        <v>3</v>
      </c>
      <c r="H73" s="77">
        <f>+IFERROR(VLOOKUP(C73,Hoja1!$A$1:$L$82,12,0),"")</f>
        <v>3</v>
      </c>
      <c r="I73" s="71" t="str">
        <f t="shared" si="1"/>
        <v>Se encuentra presente y funciona correctamente, por lo tanto se requiere acciones o actividades  dirigidas a su mantenimiento dentro del marco de las lineas de defensa.</v>
      </c>
      <c r="J73" s="43">
        <v>59</v>
      </c>
      <c r="K73" s="131">
        <f>+VLOOKUP(C73,Hoja1!$A$1:$M$82,13,0)</f>
        <v>1</v>
      </c>
      <c r="L73" s="872"/>
      <c r="M73" s="115"/>
      <c r="N73" s="115"/>
      <c r="O73" s="30"/>
      <c r="P73" s="129"/>
      <c r="Q73" s="30"/>
      <c r="R73" s="192"/>
      <c r="S73" s="136"/>
      <c r="T73" s="136"/>
      <c r="U73" s="136"/>
      <c r="V73" s="138"/>
    </row>
    <row r="74" spans="2:22" s="26" customFormat="1" ht="99.75" customHeight="1">
      <c r="B74" s="164">
        <f t="shared" si="0"/>
        <v>60</v>
      </c>
      <c r="C74" s="166" t="str">
        <f>+IFERROR(INDEX(Hoja1!$A$2:$A$82,MATCH(J74,Hoja1!$H$2:$H$82,0)),"")</f>
        <v>14.3</v>
      </c>
      <c r="D74" s="163" t="str">
        <f>IFERROR(VLOOKUP(C74,Hoja1!$A$2:$H$82,4,0),"")</f>
        <v>Info y Comunicación</v>
      </c>
      <c r="E74" s="76" t="str">
        <f>+IFERROR(VLOOKUP(C74,Hoja1!$A$1:$J$82,10,0),"")</f>
        <v>Comunicación Interna (Se comunica con el Comité Institucional de Coordinación de Control Interno o su equivalente; Facilita líneas de comunicación en todos los niveles; Selecciona el método de comunicación pertinente).</v>
      </c>
      <c r="F74" s="76" t="str">
        <f>+IFERROR(VLOOKUP(C74,Hoja1!$A$1:$I$82,3,0),"")</f>
        <v>La entidad cuenta con canales de información internos para la denuncia anónima o confidencial de posibles situaciones irregulares y se cuenta con mecanismos específicos para su manejo, de manera tal que generen la confianza para utilizarlos</v>
      </c>
      <c r="G74" s="75">
        <f>+IFERROR(VLOOKUP(C74,Hoja1!$A$1:$K$82,11,0),"")</f>
        <v>3</v>
      </c>
      <c r="H74" s="77">
        <f>+IFERROR(VLOOKUP(C74,Hoja1!$A$1:$L$82,12,0),"")</f>
        <v>3</v>
      </c>
      <c r="I74" s="71" t="str">
        <f t="shared" si="1"/>
        <v>Se encuentra presente y funciona correctamente, por lo tanto se requiere acciones o actividades  dirigidas a su mantenimiento dentro del marco de las lineas de defensa.</v>
      </c>
      <c r="J74" s="43">
        <v>60</v>
      </c>
      <c r="K74" s="131">
        <f>+VLOOKUP(C74,Hoja1!$A$1:$M$82,13,0)</f>
        <v>1</v>
      </c>
      <c r="L74" s="872"/>
      <c r="M74" s="115"/>
      <c r="N74" s="115"/>
      <c r="O74" s="30"/>
      <c r="P74" s="129"/>
      <c r="Q74" s="30"/>
      <c r="R74" s="192"/>
      <c r="S74" s="136"/>
      <c r="T74" s="136"/>
      <c r="U74" s="136"/>
      <c r="V74" s="138"/>
    </row>
    <row r="75" spans="2:22" s="26" customFormat="1" ht="99.75" customHeight="1">
      <c r="B75" s="167">
        <f t="shared" si="0"/>
        <v>61</v>
      </c>
      <c r="C75" s="166" t="str">
        <f>+IFERROR(INDEX(Hoja1!$A$2:$A$82,MATCH(J75,Hoja1!$H$2:$H$82,0)),"")</f>
        <v>14.4</v>
      </c>
      <c r="D75" s="163" t="str">
        <f>IFERROR(VLOOKUP(C75,Hoja1!$A$2:$H$82,4,0),"")</f>
        <v>Info y Comunicación</v>
      </c>
      <c r="E75" s="76" t="str">
        <f>+IFERROR(VLOOKUP(C75,Hoja1!$A$1:$J$82,10,0),"")</f>
        <v>Comunicación Interna (Se comunica con el Comité Institucional de Coordinación de Control Interno o su equivalente; Facilita líneas de comunicación en todos los niveles; Selecciona el método de comunicación pertinente).</v>
      </c>
      <c r="F75" s="76" t="str">
        <f>+IFERROR(VLOOKUP(C75,Hoja1!$A$1:$I$82,3,0),"")</f>
        <v>La entidad establece e implementa políticas y procedimientos para facilitar una comunicación interna efectiva</v>
      </c>
      <c r="G75" s="75">
        <f>+IFERROR(VLOOKUP(C75,Hoja1!$A$1:$K$82,11,0),"")</f>
        <v>3</v>
      </c>
      <c r="H75" s="77">
        <f>+IFERROR(VLOOKUP(C75,Hoja1!$A$1:$L$82,12,0),"")</f>
        <v>3</v>
      </c>
      <c r="I75" s="71" t="str">
        <f t="shared" si="1"/>
        <v>Se encuentra presente y funciona correctamente, por lo tanto se requiere acciones o actividades  dirigidas a su mantenimiento dentro del marco de las lineas de defensa.</v>
      </c>
      <c r="J75" s="43">
        <v>61</v>
      </c>
      <c r="K75" s="131">
        <f>+VLOOKUP(C75,Hoja1!$A$1:$M$82,13,0)</f>
        <v>1</v>
      </c>
      <c r="L75" s="872"/>
      <c r="M75" s="115"/>
      <c r="N75" s="115"/>
      <c r="O75" s="30"/>
      <c r="P75" s="129"/>
      <c r="Q75" s="30"/>
      <c r="R75" s="192"/>
      <c r="S75" s="136"/>
      <c r="T75" s="136"/>
      <c r="U75" s="136"/>
      <c r="V75" s="138"/>
    </row>
    <row r="76" spans="2:22" s="26" customFormat="1" ht="99.75" customHeight="1">
      <c r="B76" s="167">
        <f t="shared" si="0"/>
        <v>62</v>
      </c>
      <c r="C76" s="166" t="str">
        <f>+IFERROR(INDEX(Hoja1!$A$2:$A$82,MATCH(J76,Hoja1!$H$2:$H$82,0)),"")</f>
        <v>15.1</v>
      </c>
      <c r="D76" s="163" t="str">
        <f>IFERROR(VLOOKUP(C76,Hoja1!$A$2:$H$82,4,0),"")</f>
        <v>Info y Comunicación</v>
      </c>
      <c r="E76" s="76" t="str">
        <f>+IFERROR(VLOOKUP(C76,Hoja1!$A$1:$J$82,10,0),"")</f>
        <v>Comunicación con el exterior (Se comunica con los grupos de valor y con terceros externos interesados; Facilita líneas de comunicación).</v>
      </c>
      <c r="F76" s="76" t="str">
        <f>+IFERROR(VLOOKUP(C76,Hoja1!$A$1:$I$82,3,0),"")</f>
        <v>La entidad desarrolla e implementa controles que facilitan la comunicación externa, la cual incluye  políticas y procedimientos. 
Incluye contratistas y proveedores de servicios tercerizadas (cuando aplique).</v>
      </c>
      <c r="G76" s="75">
        <f>+IFERROR(VLOOKUP(C76,Hoja1!$A$1:$K$82,11,0),"")</f>
        <v>3</v>
      </c>
      <c r="H76" s="77">
        <f>+IFERROR(VLOOKUP(C76,Hoja1!$A$1:$L$82,12,0),"")</f>
        <v>3</v>
      </c>
      <c r="I76" s="71" t="str">
        <f t="shared" si="1"/>
        <v>Se encuentra presente y funciona correctamente, por lo tanto se requiere acciones o actividades  dirigidas a su mantenimiento dentro del marco de las lineas de defensa.</v>
      </c>
      <c r="J76" s="43">
        <v>62</v>
      </c>
      <c r="K76" s="131">
        <f>+VLOOKUP(C76,Hoja1!$A$1:$M$82,13,0)</f>
        <v>1</v>
      </c>
      <c r="L76" s="872"/>
      <c r="M76" s="115"/>
      <c r="N76" s="115"/>
      <c r="O76" s="30"/>
      <c r="P76" s="129"/>
      <c r="Q76" s="30"/>
      <c r="R76" s="192"/>
      <c r="S76" s="136"/>
      <c r="T76" s="136"/>
      <c r="U76" s="136"/>
      <c r="V76" s="138"/>
    </row>
    <row r="77" spans="2:22" s="26" customFormat="1" ht="99.75" customHeight="1">
      <c r="B77" s="167">
        <f t="shared" si="0"/>
        <v>63</v>
      </c>
      <c r="C77" s="166" t="str">
        <f>+IFERROR(INDEX(Hoja1!$A$2:$A$82,MATCH(J77,Hoja1!$H$2:$H$82,0)),"")</f>
        <v>15.2</v>
      </c>
      <c r="D77" s="163" t="str">
        <f>IFERROR(VLOOKUP(C77,Hoja1!$A$2:$H$82,4,0),"")</f>
        <v>Info y Comunicación</v>
      </c>
      <c r="E77" s="76" t="str">
        <f>+IFERROR(VLOOKUP(C77,Hoja1!$A$1:$J$82,10,0),"")</f>
        <v>Comunicación con el exterior (Se comunica con los grupos de valor y con terceros externos interesados; Facilita líneas de comunicación).</v>
      </c>
      <c r="F77" s="76" t="str">
        <f>+IFERROR(VLOOKUP(C77,Hoja1!$A$1:$I$82,3,0),"")</f>
        <v>La entidad cuenta con canales externos definidos de comunicación, asociados con el tipo de información a divulgar, y éstos son reconocidos a todo nivel de la organización.</v>
      </c>
      <c r="G77" s="75">
        <f>+IFERROR(VLOOKUP(C77,Hoja1!$A$1:$K$82,11,0),"")</f>
        <v>3</v>
      </c>
      <c r="H77" s="77">
        <f>+IFERROR(VLOOKUP(C77,Hoja1!$A$1:$L$82,12,0),"")</f>
        <v>3</v>
      </c>
      <c r="I77" s="71" t="str">
        <f t="shared" si="1"/>
        <v>Se encuentra presente y funciona correctamente, por lo tanto se requiere acciones o actividades  dirigidas a su mantenimiento dentro del marco de las lineas de defensa.</v>
      </c>
      <c r="J77" s="43">
        <v>63</v>
      </c>
      <c r="K77" s="131">
        <f>+VLOOKUP(C77,Hoja1!$A$1:$M$82,13,0)</f>
        <v>1</v>
      </c>
      <c r="L77" s="872"/>
      <c r="M77" s="115"/>
      <c r="N77" s="115"/>
      <c r="O77" s="30"/>
      <c r="P77" s="129"/>
      <c r="Q77" s="30"/>
      <c r="R77" s="192"/>
      <c r="S77" s="136"/>
      <c r="T77" s="136"/>
      <c r="U77" s="136"/>
      <c r="V77" s="138"/>
    </row>
    <row r="78" spans="2:22" s="26" customFormat="1" ht="99.75" customHeight="1">
      <c r="B78" s="164">
        <f t="shared" si="0"/>
        <v>64</v>
      </c>
      <c r="C78" s="166" t="str">
        <f>+IFERROR(INDEX(Hoja1!$A$2:$A$82,MATCH(J78,Hoja1!$H$2:$H$82,0)),"")</f>
        <v>15.3</v>
      </c>
      <c r="D78" s="163" t="str">
        <f>IFERROR(VLOOKUP(C78,Hoja1!$A$2:$H$82,4,0),"")</f>
        <v>Info y Comunicación</v>
      </c>
      <c r="E78" s="76" t="str">
        <f>+IFERROR(VLOOKUP(C78,Hoja1!$A$1:$J$82,10,0),"")</f>
        <v>Comunicación con el exterior (Se comunica con los grupos de valor y con terceros externos interesados; Facilita líneas de comunicación).</v>
      </c>
      <c r="F78" s="76" t="str">
        <f>+IFERROR(VLOOKUP(C78,Hoja1!$A$1:$I$82,3,0),"")</f>
        <v>La entidad cuenta con procesos o procedimiento para el manejo de la información entrante (quién la recibe, quién la clasifica, quién la analiza), y a la respuesta requerida (quién la canaliza y la responde)</v>
      </c>
      <c r="G78" s="75">
        <f>+IFERROR(VLOOKUP(C78,Hoja1!$A$1:$K$82,11,0),"")</f>
        <v>3</v>
      </c>
      <c r="H78" s="77">
        <f>+IFERROR(VLOOKUP(C78,Hoja1!$A$1:$L$82,12,0),"")</f>
        <v>3</v>
      </c>
      <c r="I78" s="71" t="str">
        <f t="shared" si="1"/>
        <v>Se encuentra presente y funciona correctamente, por lo tanto se requiere acciones o actividades  dirigidas a su mantenimiento dentro del marco de las lineas de defensa.</v>
      </c>
      <c r="J78" s="43">
        <v>64</v>
      </c>
      <c r="K78" s="131">
        <f>+VLOOKUP(C78,Hoja1!$A$1:$M$82,13,0)</f>
        <v>1</v>
      </c>
      <c r="L78" s="872"/>
      <c r="M78" s="115"/>
      <c r="N78" s="115"/>
      <c r="O78" s="30"/>
      <c r="P78" s="129"/>
      <c r="Q78" s="30"/>
      <c r="R78" s="192"/>
      <c r="S78" s="136"/>
      <c r="T78" s="136"/>
      <c r="U78" s="136"/>
      <c r="V78" s="138"/>
    </row>
    <row r="79" spans="2:22" s="26" customFormat="1" ht="99.75" customHeight="1">
      <c r="B79" s="167">
        <f t="shared" si="0"/>
        <v>65</v>
      </c>
      <c r="C79" s="166" t="str">
        <f>+IFERROR(INDEX(Hoja1!$A$2:$A$82,MATCH(J79,Hoja1!$H$2:$H$82,0)),"")</f>
        <v>15.4</v>
      </c>
      <c r="D79" s="163" t="str">
        <f>IFERROR(VLOOKUP(C79,Hoja1!$A$2:$H$82,4,0),"")</f>
        <v>Info y Comunicación</v>
      </c>
      <c r="E79" s="76" t="str">
        <f>+IFERROR(VLOOKUP(C79,Hoja1!$A$1:$J$82,10,0),"")</f>
        <v>Comunicación con el exterior (Se comunica con los grupos de valor y con terceros externos interesados; Facilita líneas de comunicación).</v>
      </c>
      <c r="F79" s="76" t="str">
        <f>+IFERROR(VLOOKUP(C79,Hoja1!$A$1:$I$82,3,0),"")</f>
        <v>La entidad cuenta con procesos o procedimientos encaminados a evaluar periódicamente la efectividad de los canales de comunicación con partes externas, así como sus contenidos, de tal forma que se puedan mejorar.</v>
      </c>
      <c r="G79" s="75">
        <f>+IFERROR(VLOOKUP(C79,Hoja1!$A$1:$K$82,11,0),"")</f>
        <v>3</v>
      </c>
      <c r="H79" s="77">
        <f>+IFERROR(VLOOKUP(C79,Hoja1!$A$1:$L$82,12,0),"")</f>
        <v>3</v>
      </c>
      <c r="I79" s="71" t="str">
        <f t="shared" si="1"/>
        <v>Se encuentra presente y funciona correctamente, por lo tanto se requiere acciones o actividades  dirigidas a su mantenimiento dentro del marco de las lineas de defensa.</v>
      </c>
      <c r="J79" s="43">
        <v>65</v>
      </c>
      <c r="K79" s="131">
        <f>+VLOOKUP(C79,Hoja1!$A$1:$M$82,13,0)</f>
        <v>1</v>
      </c>
      <c r="L79" s="872"/>
      <c r="M79" s="115"/>
      <c r="N79" s="115"/>
      <c r="O79" s="30"/>
      <c r="P79" s="129"/>
      <c r="Q79" s="30"/>
      <c r="R79" s="192"/>
      <c r="S79" s="136"/>
      <c r="T79" s="136"/>
      <c r="U79" s="136"/>
      <c r="V79" s="138"/>
    </row>
    <row r="80" spans="2:22" s="26" customFormat="1" ht="99.75" customHeight="1">
      <c r="B80" s="164">
        <f t="shared" ref="B80:B95" si="2">+IF(ISTEXT(D80),J80,"")</f>
        <v>66</v>
      </c>
      <c r="C80" s="166" t="str">
        <f>+IFERROR(INDEX(Hoja1!$A$2:$A$82,MATCH(J80,Hoja1!$H$2:$H$82,0)),"")</f>
        <v>15.5</v>
      </c>
      <c r="D80" s="163" t="str">
        <f>IFERROR(VLOOKUP(C80,Hoja1!$A$2:$H$82,4,0),"")</f>
        <v>Info y Comunicación</v>
      </c>
      <c r="E80" s="76" t="str">
        <f>+IFERROR(VLOOKUP(C80,Hoja1!$A$1:$J$82,10,0),"")</f>
        <v>Comunicación con el exterior (Se comunica con los grupos de valor y con terceros externos interesados; Facilita líneas de comunicación).</v>
      </c>
      <c r="F80" s="76" t="str">
        <f>+IFERROR(VLOOKUP(C80,Hoja1!$A$1:$I$82,3,0),"")</f>
        <v>La entidad analiza periódicamente su caracterización de usuarios o grupos de valor, a fin de actualizarla cuando sea pertinente</v>
      </c>
      <c r="G80" s="75">
        <f>+IFERROR(VLOOKUP(C80,Hoja1!$A$1:$K$82,11,0),"")</f>
        <v>3</v>
      </c>
      <c r="H80" s="77">
        <f>+IFERROR(VLOOKUP(C80,Hoja1!$A$1:$L$82,12,0),"")</f>
        <v>3</v>
      </c>
      <c r="I80" s="71" t="str">
        <f t="shared" ref="I80:I95" si="3">+IF(OR(AND(G80=1,H80=1),AND(G80=1,H80=2),AND(G80=1,H80=3),G80="",H80=""),"No se encuentra presente  por lo tanto no esta funcionando, lo que hace que se requieran acciones dirigidas a fortalecer su diseño y puesta en marcha",IF(OR(AND(G80=2,H80=2),AND(G80=3,H80=1),AND(G80=3,H80=2),AND(G80=2,H80=1)),"Se encuentra presente y funcionando, pero requiere acciones dirigidas a fortalecer  o mejorar su diseño y/o ejecucion.",IF(AND(G80=2,H80=3),"Se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0" s="43">
        <v>66</v>
      </c>
      <c r="K80" s="131">
        <f>+VLOOKUP(C80,Hoja1!$A$1:$M$82,13,0)</f>
        <v>1</v>
      </c>
      <c r="L80" s="872"/>
      <c r="M80" s="115"/>
      <c r="N80" s="115"/>
      <c r="O80" s="30"/>
      <c r="P80" s="129"/>
      <c r="Q80" s="30"/>
      <c r="R80" s="192"/>
      <c r="S80" s="136"/>
      <c r="T80" s="136"/>
      <c r="U80" s="136"/>
      <c r="V80" s="138"/>
    </row>
    <row r="81" spans="2:22" s="26" customFormat="1" ht="99.75" customHeight="1">
      <c r="B81" s="167">
        <f t="shared" si="2"/>
        <v>67</v>
      </c>
      <c r="C81" s="166" t="str">
        <f>+IFERROR(INDEX(Hoja1!$A$2:$A$82,MATCH(J81,Hoja1!$H$2:$H$82,0)),"")</f>
        <v>15.6</v>
      </c>
      <c r="D81" s="163" t="str">
        <f>IFERROR(VLOOKUP(C81,Hoja1!$A$2:$H$82,4,0),"")</f>
        <v>Info y Comunicación</v>
      </c>
      <c r="E81" s="76" t="str">
        <f>+IFERROR(VLOOKUP(C81,Hoja1!$A$1:$J$82,10,0),"")</f>
        <v>Comunicación con el exterior (Se comunica con los grupos de valor y con terceros externos interesados; Facilita líneas de comunicación).</v>
      </c>
      <c r="F81" s="76" t="str">
        <f>+IFERROR(VLOOKUP(C81,Hoja1!$A$1:$I$82,3,0),"")</f>
        <v>La entidad analiza periódicamente los resultados frente a la evaluación de percepción por parte de los usuarios o grupos de valor para la incorporación de las mejoras correspondientes</v>
      </c>
      <c r="G81" s="75">
        <f>+IFERROR(VLOOKUP(C81,Hoja1!$A$1:$K$82,11,0),"")</f>
        <v>3</v>
      </c>
      <c r="H81" s="77">
        <f>+IFERROR(VLOOKUP(C81,Hoja1!$A$1:$L$82,12,0),"")</f>
        <v>3</v>
      </c>
      <c r="I81" s="71" t="str">
        <f t="shared" si="3"/>
        <v>Se encuentra presente y funciona correctamente, por lo tanto se requiere acciones o actividades  dirigidas a su mantenimiento dentro del marco de las lineas de defensa.</v>
      </c>
      <c r="J81" s="43">
        <v>67</v>
      </c>
      <c r="K81" s="135">
        <f>+VLOOKUP(C81,Hoja1!$A$1:$M$82,13,0)</f>
        <v>1</v>
      </c>
      <c r="L81" s="872"/>
      <c r="M81" s="115"/>
      <c r="N81" s="115"/>
      <c r="O81" s="30"/>
      <c r="P81" s="129"/>
      <c r="Q81" s="30"/>
      <c r="R81" s="192"/>
      <c r="S81" s="136"/>
      <c r="T81" s="136"/>
      <c r="U81" s="136"/>
      <c r="V81" s="138"/>
    </row>
    <row r="82" spans="2:22" s="26" customFormat="1" ht="99.75" customHeight="1">
      <c r="B82" s="167">
        <f t="shared" si="2"/>
        <v>68</v>
      </c>
      <c r="C82" s="166" t="str">
        <f>+IFERROR(INDEX(Hoja1!$A$2:$A$82,MATCH(J82,Hoja1!$H$2:$H$82,0)),"")</f>
        <v>16.1</v>
      </c>
      <c r="D82" s="163" t="str">
        <f>IFERROR(VLOOKUP(C82,Hoja1!$A$2:$H$82,4,0),"")</f>
        <v>Monitoreo - Supervisión</v>
      </c>
      <c r="E82" s="76" t="str">
        <f>+IFERROR(VLOOKUP(C82,Hoja1!$A$1:$J$82,10,0),"")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2" s="76" t="str">
        <f>+IFERROR(VLOOKUP(C82,Hoja1!$A$1:$I$82,3,0),"")</f>
        <v>El Comité Institucional de Coordinación de Control Interno aprueba anualmente el Programa Anual de Auditoría presentado por el Director de Control Interno</v>
      </c>
      <c r="G82" s="75">
        <f>+IFERROR(VLOOKUP(C82,Hoja1!$A$1:$K$82,11,0),"")</f>
        <v>3</v>
      </c>
      <c r="H82" s="77">
        <f>+IFERROR(VLOOKUP(C82,Hoja1!$A$1:$L$82,12,0),"")</f>
        <v>3</v>
      </c>
      <c r="I82" s="71" t="str">
        <f t="shared" si="3"/>
        <v>Se encuentra presente y funciona correctamente, por lo tanto se requiere acciones o actividades  dirigidas a su mantenimiento dentro del marco de las lineas de defensa.</v>
      </c>
      <c r="J82" s="43">
        <v>68</v>
      </c>
      <c r="K82" s="135">
        <f>+VLOOKUP(C82,Hoja1!$A$1:$M$82,13,0)</f>
        <v>1</v>
      </c>
      <c r="L82" s="875">
        <f>+AVERAGE(K82:K95)</f>
        <v>1</v>
      </c>
      <c r="M82" s="115"/>
      <c r="N82" s="115"/>
      <c r="O82" s="30"/>
      <c r="P82" s="129"/>
      <c r="Q82" s="30"/>
      <c r="R82" s="192"/>
      <c r="S82" s="136"/>
      <c r="T82" s="136"/>
      <c r="U82" s="136"/>
      <c r="V82" s="138"/>
    </row>
    <row r="83" spans="2:22" s="26" customFormat="1" ht="99.75" customHeight="1">
      <c r="B83" s="167">
        <f t="shared" si="2"/>
        <v>69</v>
      </c>
      <c r="C83" s="166" t="str">
        <f>+IFERROR(INDEX(Hoja1!$A$2:$A$82,MATCH(J83,Hoja1!$H$2:$H$82,0)),"")</f>
        <v>16.2</v>
      </c>
      <c r="D83" s="163" t="str">
        <f>IFERROR(VLOOKUP(C83,Hoja1!$A$2:$H$82,4,0),"")</f>
        <v>Monitoreo - Supervisión</v>
      </c>
      <c r="E83" s="76" t="str">
        <f>+IFERROR(VLOOKUP(C83,Hoja1!$A$1:$J$82,10,0),"")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3" s="76" t="str">
        <f>+IFERROR(VLOOKUP(C83,Hoja1!$A$1:$I$82,3,0),"")</f>
        <v xml:space="preserve"> La Alta Dirección periódicamente evalúa los resultados de las evaluaciones (continuas e independientes)  para concluir acerca de la efectividad del Sistema de Control Intern</v>
      </c>
      <c r="G83" s="75">
        <f>+IFERROR(VLOOKUP(C83,Hoja1!$A$1:$K$82,11,0),"")</f>
        <v>3</v>
      </c>
      <c r="H83" s="77">
        <f>+IFERROR(VLOOKUP(C83,Hoja1!$A$1:$L$82,12,0),"")</f>
        <v>3</v>
      </c>
      <c r="I83" s="71" t="str">
        <f t="shared" si="3"/>
        <v>Se encuentra presente y funciona correctamente, por lo tanto se requiere acciones o actividades  dirigidas a su mantenimiento dentro del marco de las lineas de defensa.</v>
      </c>
      <c r="J83" s="43">
        <v>69</v>
      </c>
      <c r="K83" s="131">
        <f>+VLOOKUP(C83,Hoja1!$A$1:$M$82,13,0)</f>
        <v>1</v>
      </c>
      <c r="L83" s="872"/>
      <c r="M83" s="115" t="s">
        <v>564</v>
      </c>
      <c r="N83" s="115" t="s">
        <v>565</v>
      </c>
      <c r="O83" s="116" t="s">
        <v>542</v>
      </c>
      <c r="P83" s="129" t="s">
        <v>518</v>
      </c>
      <c r="Q83" s="129" t="s">
        <v>543</v>
      </c>
      <c r="R83" s="194">
        <v>1</v>
      </c>
      <c r="S83" s="136"/>
      <c r="T83" s="136"/>
      <c r="U83" s="136"/>
      <c r="V83" s="138" t="s">
        <v>544</v>
      </c>
    </row>
    <row r="84" spans="2:22" s="26" customFormat="1" ht="99.75" customHeight="1">
      <c r="B84" s="164">
        <f t="shared" si="2"/>
        <v>70</v>
      </c>
      <c r="C84" s="166" t="str">
        <f>+IFERROR(INDEX(Hoja1!$A$2:$A$82,MATCH(J84,Hoja1!$H$2:$H$82,0)),"")</f>
        <v>16.3</v>
      </c>
      <c r="D84" s="163" t="str">
        <f>IFERROR(VLOOKUP(C84,Hoja1!$A$2:$H$82,4,0),"")</f>
        <v>Monitoreo - Supervisión</v>
      </c>
      <c r="E84" s="76" t="str">
        <f>+IFERROR(VLOOKUP(C84,Hoja1!$A$1:$J$82,10,0),"")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4" s="76" t="str">
        <f>+IFERROR(VLOOKUP(C84,Hoja1!$A$1:$I$82,3,0),"")</f>
        <v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G84" s="75">
        <f>+IFERROR(VLOOKUP(C84,Hoja1!$A$1:$K$82,11,0),"")</f>
        <v>3</v>
      </c>
      <c r="H84" s="77">
        <f>+IFERROR(VLOOKUP(C84,Hoja1!$A$1:$L$82,12,0),"")</f>
        <v>3</v>
      </c>
      <c r="I84" s="71" t="str">
        <f t="shared" si="3"/>
        <v>Se encuentra presente y funciona correctamente, por lo tanto se requiere acciones o actividades  dirigidas a su mantenimiento dentro del marco de las lineas de defensa.</v>
      </c>
      <c r="J84" s="43">
        <v>70</v>
      </c>
      <c r="K84" s="131">
        <f>+VLOOKUP(C84,Hoja1!$A$1:$M$82,13,0)</f>
        <v>1</v>
      </c>
      <c r="L84" s="872"/>
      <c r="M84" s="115"/>
      <c r="N84" s="115"/>
      <c r="O84" s="30"/>
      <c r="P84" s="116"/>
      <c r="Q84" s="30"/>
      <c r="R84" s="192"/>
      <c r="S84" s="136"/>
      <c r="T84" s="136"/>
      <c r="U84" s="136"/>
      <c r="V84" s="138"/>
    </row>
    <row r="85" spans="2:22" s="26" customFormat="1" ht="99.75" customHeight="1">
      <c r="B85" s="167">
        <f t="shared" si="2"/>
        <v>71</v>
      </c>
      <c r="C85" s="166" t="str">
        <f>+IFERROR(INDEX(Hoja1!$A$2:$A$82,MATCH(J85,Hoja1!$H$2:$H$82,0)),"")</f>
        <v>16.4</v>
      </c>
      <c r="D85" s="163" t="str">
        <f>IFERROR(VLOOKUP(C85,Hoja1!$A$2:$H$82,4,0),"")</f>
        <v>Monitoreo - Supervisión</v>
      </c>
      <c r="E85" s="76" t="str">
        <f>+IFERROR(VLOOKUP(C85,Hoja1!$A$1:$J$82,10,0),"")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5" s="76" t="str">
        <f>+IFERROR(VLOOKUP(C85,Hoja1!$A$1:$I$82,3,0),"")</f>
        <v>Acorde con el Esquema de Líneas de Defensa se han implementado procedimientos de monitoreo continuo como parte de las actividades de la 2a línea de defensa, a fin de contar con información clave para la toma de decisiones</v>
      </c>
      <c r="G85" s="75">
        <f>+IFERROR(VLOOKUP(C85,Hoja1!$A$1:$K$82,11,0),"")</f>
        <v>3</v>
      </c>
      <c r="H85" s="77">
        <f>+IFERROR(VLOOKUP(C85,Hoja1!$A$1:$L$82,12,0),"")</f>
        <v>3</v>
      </c>
      <c r="I85" s="71" t="str">
        <f t="shared" si="3"/>
        <v>Se encuentra presente y funciona correctamente, por lo tanto se requiere acciones o actividades  dirigidas a su mantenimiento dentro del marco de las lineas de defensa.</v>
      </c>
      <c r="J85" s="43">
        <v>71</v>
      </c>
      <c r="K85" s="131">
        <f>+VLOOKUP(C85,Hoja1!$A$1:$M$82,13,0)</f>
        <v>1</v>
      </c>
      <c r="L85" s="872"/>
      <c r="M85" s="115"/>
      <c r="N85" s="115"/>
      <c r="O85" s="30"/>
      <c r="P85" s="116"/>
      <c r="Q85" s="30"/>
      <c r="R85" s="192"/>
      <c r="S85" s="136"/>
      <c r="T85" s="136"/>
      <c r="U85" s="136"/>
      <c r="V85" s="138"/>
    </row>
    <row r="86" spans="2:22" s="26" customFormat="1" ht="99.75" customHeight="1">
      <c r="B86" s="164">
        <f t="shared" si="2"/>
        <v>72</v>
      </c>
      <c r="C86" s="166" t="str">
        <f>+IFERROR(INDEX(Hoja1!$A$2:$A$82,MATCH(J86,Hoja1!$H$2:$H$82,0)),"")</f>
        <v>16.5</v>
      </c>
      <c r="D86" s="163" t="str">
        <f>IFERROR(VLOOKUP(C86,Hoja1!$A$2:$H$82,4,0),"")</f>
        <v>Monitoreo - Supervisión</v>
      </c>
      <c r="E86" s="76" t="str">
        <f>+IFERROR(VLOOKUP(C86,Hoja1!$A$1:$J$82,10,0),"")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6" s="76" t="str">
        <f>+IFERROR(VLOOKUP(C86,Hoja1!$A$1:$I$82,3,0),"")</f>
        <v>Frente a las evaluaciones independientes la entidad considera evaluaciones externas de organismos de control, de vigilancia, certificadores, ONG´s u otros que permitan tener una mirada independiente de las operaciones</v>
      </c>
      <c r="G86" s="75">
        <f>+IFERROR(VLOOKUP(C86,Hoja1!$A$1:$K$82,11,0),"")</f>
        <v>3</v>
      </c>
      <c r="H86" s="77">
        <f>+IFERROR(VLOOKUP(C86,Hoja1!$A$1:$L$82,12,0),"")</f>
        <v>3</v>
      </c>
      <c r="I86" s="71" t="str">
        <f t="shared" si="3"/>
        <v>Se encuentra presente y funciona correctamente, por lo tanto se requiere acciones o actividades  dirigidas a su mantenimiento dentro del marco de las lineas de defensa.</v>
      </c>
      <c r="J86" s="43">
        <v>72</v>
      </c>
      <c r="K86" s="131">
        <f>+VLOOKUP(C86,Hoja1!$A$1:$M$82,13,0)</f>
        <v>1</v>
      </c>
      <c r="L86" s="872"/>
      <c r="M86" s="115"/>
      <c r="N86" s="115"/>
      <c r="O86" s="30"/>
      <c r="P86" s="116"/>
      <c r="Q86" s="30"/>
      <c r="R86" s="192"/>
      <c r="S86" s="136"/>
      <c r="T86" s="136"/>
      <c r="U86" s="136"/>
      <c r="V86" s="138"/>
    </row>
    <row r="87" spans="2:22" s="26" customFormat="1" ht="99.75" customHeight="1">
      <c r="B87" s="167">
        <f t="shared" si="2"/>
        <v>73</v>
      </c>
      <c r="C87" s="166" t="str">
        <f>+IFERROR(INDEX(Hoja1!$A$2:$A$82,MATCH(J87,Hoja1!$H$2:$H$82,0)),"")</f>
        <v xml:space="preserve">17.1 </v>
      </c>
      <c r="D87" s="163" t="str">
        <f>IFERROR(VLOOKUP(C87,Hoja1!$A$2:$H$82,4,0),"")</f>
        <v>Monitoreo - Supervisión</v>
      </c>
      <c r="E87" s="76" t="str">
        <f>+IFERROR(VLOOKUP(C87,Hoja1!$A$1:$J$82,10,0),"")</f>
        <v>Evaluación y comunicación de deficiencias oportunamente (Evalúa los resultados, Comunica las deficiencias y Monitorea las medidas correctivas).</v>
      </c>
      <c r="F87" s="76" t="str">
        <f>+IFERROR(VLOOKUP(C87,Hoja1!$A$1:$I$82,3,0),"")</f>
        <v>A partir de la información de las evaluaciones independientes, se evalúan para determinar su efecto en el Sistema de Control Interno de la entidad y su impacto en el logro de los objetivos, a fin de determinar cursos de acción para su mejora</v>
      </c>
      <c r="G87" s="75">
        <f>+IFERROR(VLOOKUP(C87,Hoja1!$A$1:$K$82,11,0),"")</f>
        <v>3</v>
      </c>
      <c r="H87" s="77">
        <f>+IFERROR(VLOOKUP(C87,Hoja1!$A$1:$L$82,12,0),"")</f>
        <v>3</v>
      </c>
      <c r="I87" s="71" t="str">
        <f t="shared" si="3"/>
        <v>Se encuentra presente y funciona correctamente, por lo tanto se requiere acciones o actividades  dirigidas a su mantenimiento dentro del marco de las lineas de defensa.</v>
      </c>
      <c r="J87" s="43">
        <v>73</v>
      </c>
      <c r="K87" s="131">
        <f>+VLOOKUP(C87,Hoja1!$A$1:$M$82,13,0)</f>
        <v>1</v>
      </c>
      <c r="L87" s="872"/>
      <c r="M87" s="115"/>
      <c r="N87" s="115"/>
      <c r="O87" s="30"/>
      <c r="P87" s="116"/>
      <c r="Q87" s="30"/>
      <c r="R87" s="192"/>
      <c r="S87" s="136"/>
      <c r="T87" s="136"/>
      <c r="U87" s="136"/>
      <c r="V87" s="138"/>
    </row>
    <row r="88" spans="2:22" s="26" customFormat="1" ht="99.75" customHeight="1">
      <c r="B88" s="167">
        <f t="shared" si="2"/>
        <v>74</v>
      </c>
      <c r="C88" s="166" t="str">
        <f>+IFERROR(INDEX(Hoja1!$A$2:$A$82,MATCH(J88,Hoja1!$H$2:$H$82,0)),"")</f>
        <v xml:space="preserve">17.2 </v>
      </c>
      <c r="D88" s="163" t="str">
        <f>IFERROR(VLOOKUP(C88,Hoja1!$A$2:$H$82,4,0),"")</f>
        <v>Monitoreo - Supervisión</v>
      </c>
      <c r="E88" s="76" t="str">
        <f>+IFERROR(VLOOKUP(C88,Hoja1!$A$1:$J$82,10,0),"")</f>
        <v>Evaluación y comunicación de deficiencias oportunamente (Evalúa los resultados, Comunica las deficiencias y Monitorea las medidas correctivas).</v>
      </c>
      <c r="F88" s="76" t="str">
        <f>+IFERROR(VLOOKUP(C88,Hoja1!$A$1:$I$82,3,0),"")</f>
        <v>Los informes recibidos de entes externos (organismos de control, auditores externos, entidades de vigilancia entre otros) se consolidan y se concluye sobre el impacto en el Sistema de Control Interno, a fin de determinar los cursos de acción</v>
      </c>
      <c r="G88" s="75">
        <f>+IFERROR(VLOOKUP(C88,Hoja1!$A$1:$K$82,11,0),"")</f>
        <v>3</v>
      </c>
      <c r="H88" s="77">
        <f>+IFERROR(VLOOKUP(C88,Hoja1!$A$1:$L$82,12,0),"")</f>
        <v>3</v>
      </c>
      <c r="I88" s="71" t="str">
        <f t="shared" si="3"/>
        <v>Se encuentra presente y funciona correctamente, por lo tanto se requiere acciones o actividades  dirigidas a su mantenimiento dentro del marco de las lineas de defensa.</v>
      </c>
      <c r="J88" s="43">
        <v>74</v>
      </c>
      <c r="K88" s="131">
        <f>+VLOOKUP(C88,Hoja1!$A$1:$M$82,13,0)</f>
        <v>1</v>
      </c>
      <c r="L88" s="872"/>
      <c r="M88" s="115"/>
      <c r="N88" s="115"/>
      <c r="O88" s="30"/>
      <c r="P88" s="116"/>
      <c r="Q88" s="30"/>
      <c r="R88" s="192"/>
      <c r="S88" s="136"/>
      <c r="T88" s="136"/>
      <c r="U88" s="136"/>
      <c r="V88" s="138"/>
    </row>
    <row r="89" spans="2:22" s="26" customFormat="1" ht="99.75" customHeight="1">
      <c r="B89" s="167">
        <f t="shared" si="2"/>
        <v>75</v>
      </c>
      <c r="C89" s="166" t="str">
        <f>+IFERROR(INDEX(Hoja1!$A$2:$A$82,MATCH(J89,Hoja1!$H$2:$H$82,0)),"")</f>
        <v xml:space="preserve">17.3 </v>
      </c>
      <c r="D89" s="163" t="str">
        <f>IFERROR(VLOOKUP(C89,Hoja1!$A$2:$H$82,4,0),"")</f>
        <v>Monitoreo - Supervisión</v>
      </c>
      <c r="E89" s="76" t="str">
        <f>+IFERROR(VLOOKUP(C89,Hoja1!$A$1:$J$82,10,0),"")</f>
        <v>Evaluación y comunicación de deficiencias oportunamente (Evalúa los resultados, Comunica las deficiencias y Monitorea las medidas correctivas).</v>
      </c>
      <c r="F89" s="76" t="str">
        <f>+IFERROR(VLOOKUP(C89,Hoja1!$A$1:$I$82,3,0),"")</f>
        <v>La entidad cuenta con políticas donde se establezca a quién reportar las deficiencias de control interno como resultado del monitoreo continuo</v>
      </c>
      <c r="G89" s="75">
        <f>+IFERROR(VLOOKUP(C89,Hoja1!$A$1:$K$82,11,0),"")</f>
        <v>3</v>
      </c>
      <c r="H89" s="77">
        <f>+IFERROR(VLOOKUP(C89,Hoja1!$A$1:$L$82,12,0),"")</f>
        <v>3</v>
      </c>
      <c r="I89" s="71" t="str">
        <f t="shared" si="3"/>
        <v>Se encuentra presente y funciona correctamente, por lo tanto se requiere acciones o actividades  dirigidas a su mantenimiento dentro del marco de las lineas de defensa.</v>
      </c>
      <c r="J89" s="43">
        <v>75</v>
      </c>
      <c r="K89" s="131">
        <f>+VLOOKUP(C89,Hoja1!$A$1:$M$82,13,0)</f>
        <v>1</v>
      </c>
      <c r="L89" s="872"/>
      <c r="M89" s="134" t="s">
        <v>566</v>
      </c>
      <c r="N89" s="115" t="s">
        <v>567</v>
      </c>
      <c r="O89" s="129" t="s">
        <v>517</v>
      </c>
      <c r="P89" s="129" t="s">
        <v>518</v>
      </c>
      <c r="Q89" s="128" t="s">
        <v>519</v>
      </c>
      <c r="R89" s="195">
        <v>0.2</v>
      </c>
      <c r="S89" s="298">
        <v>1</v>
      </c>
      <c r="T89" s="141"/>
      <c r="U89" s="141"/>
      <c r="V89" s="299" t="s">
        <v>568</v>
      </c>
    </row>
    <row r="90" spans="2:22" s="26" customFormat="1" ht="99.75" customHeight="1">
      <c r="B90" s="164">
        <f t="shared" si="2"/>
        <v>76</v>
      </c>
      <c r="C90" s="166" t="str">
        <f>+IFERROR(INDEX(Hoja1!$A$2:$A$82,MATCH(J90,Hoja1!$H$2:$H$82,0)),"")</f>
        <v xml:space="preserve">17.4 </v>
      </c>
      <c r="D90" s="163" t="str">
        <f>IFERROR(VLOOKUP(C90,Hoja1!$A$2:$H$82,4,0),"")</f>
        <v>Monitoreo - Supervisión</v>
      </c>
      <c r="E90" s="76" t="str">
        <f>+IFERROR(VLOOKUP(C90,Hoja1!$A$1:$J$82,10,0),"")</f>
        <v>Evaluación y comunicación de deficiencias oportunamente (Evalúa los resultados, Comunica las deficiencias y Monitorea las medidas correctivas).</v>
      </c>
      <c r="F90" s="76" t="str">
        <f>+IFERROR(VLOOKUP(C90,Hoja1!$A$1:$I$82,3,0),"")</f>
        <v>La Alta Dirección hace seguimiento a las acciones correctivas relacionadas con las deficiencias comunicadas sobre el Sistema de Control Interno y si se han cumplido en el tiempo establecido</v>
      </c>
      <c r="G90" s="75">
        <f>+IFERROR(VLOOKUP(C90,Hoja1!$A$1:$K$82,11,0),"")</f>
        <v>3</v>
      </c>
      <c r="H90" s="77">
        <f>+IFERROR(VLOOKUP(C90,Hoja1!$A$1:$L$82,12,0),"")</f>
        <v>3</v>
      </c>
      <c r="I90" s="71" t="str">
        <f t="shared" si="3"/>
        <v>Se encuentra presente y funciona correctamente, por lo tanto se requiere acciones o actividades  dirigidas a su mantenimiento dentro del marco de las lineas de defensa.</v>
      </c>
      <c r="J90" s="43">
        <v>76</v>
      </c>
      <c r="K90" s="131">
        <f>+VLOOKUP(C90,Hoja1!$A$1:$M$82,13,0)</f>
        <v>1</v>
      </c>
      <c r="L90" s="872"/>
      <c r="M90" s="115"/>
      <c r="N90" s="115"/>
      <c r="O90" s="30"/>
      <c r="P90" s="116"/>
      <c r="Q90" s="30"/>
      <c r="R90" s="192"/>
      <c r="S90" s="136"/>
      <c r="T90" s="136"/>
      <c r="U90" s="136"/>
      <c r="V90" s="138"/>
    </row>
    <row r="91" spans="2:22" s="26" customFormat="1" ht="99.75" customHeight="1">
      <c r="B91" s="167">
        <f t="shared" si="2"/>
        <v>77</v>
      </c>
      <c r="C91" s="166" t="str">
        <f>+IFERROR(INDEX(Hoja1!$A$2:$A$82,MATCH(J91,Hoja1!$H$2:$H$82,0)),"")</f>
        <v xml:space="preserve">17.5 </v>
      </c>
      <c r="D91" s="163" t="str">
        <f>IFERROR(VLOOKUP(C91,Hoja1!$A$2:$H$82,4,0),"")</f>
        <v>Monitoreo - Supervisión</v>
      </c>
      <c r="E91" s="76" t="str">
        <f>+IFERROR(VLOOKUP(C91,Hoja1!$A$1:$J$82,10,0),"")</f>
        <v>Evaluación y comunicación de deficiencias oportunamente (Evalúa los resultados, Comunica las deficiencias y Monitorea las medidas correctivas).</v>
      </c>
      <c r="F91" s="76" t="str">
        <f>+IFERROR(VLOOKUP(C91,Hoja1!$A$1:$I$82,3,0),"")</f>
        <v>Los procesos y/o servicios tercerizados, son evaluados acorde con su nivel de riesgos</v>
      </c>
      <c r="G91" s="75">
        <f>+IFERROR(VLOOKUP(C91,Hoja1!$A$1:$K$82,11,0),"")</f>
        <v>3</v>
      </c>
      <c r="H91" s="77">
        <f>+IFERROR(VLOOKUP(C91,Hoja1!$A$1:$L$82,12,0),"")</f>
        <v>3</v>
      </c>
      <c r="I91" s="71" t="str">
        <f t="shared" si="3"/>
        <v>Se encuentra presente y funciona correctamente, por lo tanto se requiere acciones o actividades  dirigidas a su mantenimiento dentro del marco de las lineas de defensa.</v>
      </c>
      <c r="J91" s="43">
        <v>77</v>
      </c>
      <c r="K91" s="132">
        <f>+VLOOKUP(C91,Hoja1!$A$1:$M$82,13,0)</f>
        <v>1</v>
      </c>
      <c r="L91" s="872"/>
      <c r="M91" s="115"/>
      <c r="N91" s="115"/>
      <c r="O91" s="30"/>
      <c r="P91" s="116"/>
      <c r="Q91" s="30"/>
      <c r="R91" s="192"/>
      <c r="S91" s="136"/>
      <c r="T91" s="136"/>
      <c r="U91" s="136"/>
      <c r="V91" s="138"/>
    </row>
    <row r="92" spans="2:22" s="26" customFormat="1" ht="99.75" customHeight="1">
      <c r="B92" s="164">
        <f t="shared" si="2"/>
        <v>78</v>
      </c>
      <c r="C92" s="166" t="str">
        <f>+IFERROR(INDEX(Hoja1!$A$2:$A$82,MATCH(J92,Hoja1!$H$2:$H$82,0)),"")</f>
        <v xml:space="preserve">17.6 </v>
      </c>
      <c r="D92" s="163" t="str">
        <f>IFERROR(VLOOKUP(C92,Hoja1!$A$2:$H$82,4,0),"")</f>
        <v>Monitoreo - Supervisión</v>
      </c>
      <c r="E92" s="76" t="str">
        <f>+IFERROR(VLOOKUP(C92,Hoja1!$A$1:$J$82,10,0),"")</f>
        <v>Evaluación y comunicación de deficiencias oportunamente (Evalúa los resultados, Comunica las deficiencias y Monitorea las medidas correctivas).</v>
      </c>
      <c r="F92" s="76" t="str">
        <f>+IFERROR(VLOOKUP(C92,Hoja1!$A$1:$I$82,3,0),"")</f>
        <v>Se evalúa la información suministrada por los usuarios (Sistema PQRD), así como de otras partes interesadas para la mejora del  Sistema de Control Interno de la Entidad</v>
      </c>
      <c r="G92" s="75">
        <f>+IFERROR(VLOOKUP(C92,Hoja1!$A$1:$K$82,11,0),"")</f>
        <v>3</v>
      </c>
      <c r="H92" s="77">
        <f>+IFERROR(VLOOKUP(C92,Hoja1!$A$1:$L$82,12,0),"")</f>
        <v>3</v>
      </c>
      <c r="I92" s="71" t="str">
        <f t="shared" si="3"/>
        <v>Se encuentra presente y funciona correctamente, por lo tanto se requiere acciones o actividades  dirigidas a su mantenimiento dentro del marco de las lineas de defensa.</v>
      </c>
      <c r="J92" s="43">
        <v>78</v>
      </c>
      <c r="K92" s="132">
        <f>+VLOOKUP(C92,Hoja1!$A$1:$M$82,13,0)</f>
        <v>1</v>
      </c>
      <c r="L92" s="872"/>
      <c r="M92" s="115"/>
      <c r="N92" s="115"/>
      <c r="O92" s="30"/>
      <c r="P92" s="116"/>
      <c r="Q92" s="30"/>
      <c r="R92" s="192"/>
      <c r="S92" s="136"/>
      <c r="T92" s="136"/>
      <c r="U92" s="136"/>
      <c r="V92" s="138"/>
    </row>
    <row r="93" spans="2:22" s="26" customFormat="1" ht="99.75" customHeight="1">
      <c r="B93" s="167">
        <f t="shared" si="2"/>
        <v>79</v>
      </c>
      <c r="C93" s="166" t="str">
        <f>+IFERROR(INDEX(Hoja1!$A$2:$A$82,MATCH(J93,Hoja1!$H$2:$H$82,0)),"")</f>
        <v xml:space="preserve">17.7 </v>
      </c>
      <c r="D93" s="163" t="str">
        <f>IFERROR(VLOOKUP(C93,Hoja1!$A$2:$H$82,4,0),"")</f>
        <v>Monitoreo - Supervisión</v>
      </c>
      <c r="E93" s="76" t="str">
        <f>+IFERROR(VLOOKUP(C93,Hoja1!$A$1:$J$82,10,0),"")</f>
        <v>Evaluación y comunicación de deficiencias oportunamente (Evalúa los resultados, Comunica las deficiencias y Monitorea las medidas correctivas).</v>
      </c>
      <c r="F93" s="76" t="str">
        <f>+IFERROR(VLOOKUP(C93,Hoja1!$A$1:$I$82,3,0),"")</f>
        <v>Verificación del avance y cumplimiento de las acciones incluidas en los planes de mejoramiento producto de las autoevaluaciones. (2ª Línea).</v>
      </c>
      <c r="G93" s="75">
        <f>+IFERROR(VLOOKUP(C93,Hoja1!$A$1:$K$82,11,0),"")</f>
        <v>3</v>
      </c>
      <c r="H93" s="77">
        <f>+IFERROR(VLOOKUP(C93,Hoja1!$A$1:$L$82,12,0),"")</f>
        <v>3</v>
      </c>
      <c r="I93" s="71" t="str">
        <f t="shared" si="3"/>
        <v>Se encuentra presente y funciona correctamente, por lo tanto se requiere acciones o actividades  dirigidas a su mantenimiento dentro del marco de las lineas de defensa.</v>
      </c>
      <c r="J93" s="43">
        <v>79</v>
      </c>
      <c r="K93" s="132">
        <f>+VLOOKUP(C93,Hoja1!$A$1:$M$82,13,0)</f>
        <v>1</v>
      </c>
      <c r="L93" s="872"/>
      <c r="M93" s="134"/>
      <c r="N93" s="115"/>
      <c r="O93" s="30"/>
      <c r="P93" s="116"/>
      <c r="Q93" s="30"/>
      <c r="R93" s="192"/>
      <c r="S93" s="136"/>
      <c r="T93" s="136"/>
      <c r="U93" s="136"/>
      <c r="V93" s="138"/>
    </row>
    <row r="94" spans="2:22" s="26" customFormat="1" ht="99.75" customHeight="1">
      <c r="B94" s="167">
        <f t="shared" si="2"/>
        <v>80</v>
      </c>
      <c r="C94" s="166" t="str">
        <f>+IFERROR(INDEX(Hoja1!$A$2:$A$82,MATCH(J94,Hoja1!$H$2:$H$82,0)),"")</f>
        <v xml:space="preserve">17.8 </v>
      </c>
      <c r="D94" s="163" t="str">
        <f>IFERROR(VLOOKUP(C94,Hoja1!$A$2:$H$82,4,0),"")</f>
        <v>Monitoreo - Supervisión</v>
      </c>
      <c r="E94" s="76" t="str">
        <f>+IFERROR(VLOOKUP(C94,Hoja1!$A$1:$J$82,10,0),"")</f>
        <v>Evaluación y comunicación de deficiencias oportunamente (Evalúa los resultados, Comunica las deficiencias y Monitorea las medidas correctivas).</v>
      </c>
      <c r="F94" s="76" t="str">
        <f>+IFERROR(VLOOKUP(C94,Hoja1!$A$1:$I$82,3,0),"")</f>
        <v>Evaluación de la efectividad de las acciones incluidas en los Planes de mejoramiento producto de las auditorías internas y de entes externos. (3ª Línea</v>
      </c>
      <c r="G94" s="75">
        <f>+IFERROR(VLOOKUP(C94,Hoja1!$A$1:$K$82,11,0),"")</f>
        <v>3</v>
      </c>
      <c r="H94" s="77">
        <f>+IFERROR(VLOOKUP(C94,Hoja1!$A$1:$L$82,12,0),"")</f>
        <v>3</v>
      </c>
      <c r="I94" s="71" t="str">
        <f t="shared" si="3"/>
        <v>Se encuentra presente y funciona correctamente, por lo tanto se requiere acciones o actividades  dirigidas a su mantenimiento dentro del marco de las lineas de defensa.</v>
      </c>
      <c r="J94" s="43">
        <v>80</v>
      </c>
      <c r="K94" s="132">
        <f>+VLOOKUP(C94,Hoja1!$A$1:$M$82,13,0)</f>
        <v>1</v>
      </c>
      <c r="L94" s="872"/>
      <c r="M94" s="134"/>
      <c r="N94" s="115"/>
      <c r="O94" s="30"/>
      <c r="P94" s="116"/>
      <c r="Q94" s="30"/>
      <c r="R94" s="192"/>
      <c r="S94" s="136"/>
      <c r="T94" s="136"/>
      <c r="U94" s="136"/>
      <c r="V94" s="138"/>
    </row>
    <row r="95" spans="2:22" s="26" customFormat="1" ht="51">
      <c r="B95" s="167">
        <f t="shared" si="2"/>
        <v>81</v>
      </c>
      <c r="C95" s="166" t="str">
        <f>+IFERROR(INDEX(Hoja1!$A$2:$A$82,MATCH(J95,Hoja1!$H$2:$H$82,0)),"")</f>
        <v xml:space="preserve">17.9 </v>
      </c>
      <c r="D95" s="163" t="str">
        <f>IFERROR(VLOOKUP(C95,Hoja1!$A$2:$H$82,4,0),"")</f>
        <v>Monitoreo - Supervisión</v>
      </c>
      <c r="E95" s="76" t="str">
        <f>+IFERROR(VLOOKUP(C95,Hoja1!$A$1:$J$82,10,0),"")</f>
        <v>Evaluación y comunicación de deficiencias oportunamente (Evalúa los resultados, Comunica las deficiencias y Monitorea las medidas correctivas).</v>
      </c>
      <c r="F95" s="76" t="str">
        <f>+IFERROR(VLOOKUP(C95,Hoja1!$A$1:$I$82,3,0),"")</f>
        <v>Las deficiencias de control interno son reportadas a los responsables de nivel jerárquico superior, para tomar la acciones correspondientes</v>
      </c>
      <c r="G95" s="75">
        <f>+IFERROR(VLOOKUP(C95,Hoja1!$A$1:$K$82,11,0),"")</f>
        <v>3</v>
      </c>
      <c r="H95" s="77">
        <f>+IFERROR(VLOOKUP(C95,Hoja1!$A$1:$L$82,12,0),"")</f>
        <v>3</v>
      </c>
      <c r="I95" s="71" t="str">
        <f t="shared" si="3"/>
        <v>Se encuentra presente y funciona correctamente, por lo tanto se requiere acciones o actividades  dirigidas a su mantenimiento dentro del marco de las lineas de defensa.</v>
      </c>
      <c r="J95" s="43">
        <v>81</v>
      </c>
      <c r="K95" s="132">
        <f>+VLOOKUP(C95,Hoja1!$A$1:$M$82,13,0)</f>
        <v>1</v>
      </c>
      <c r="L95" s="873"/>
      <c r="M95" s="134"/>
      <c r="N95" s="115"/>
      <c r="O95" s="30"/>
      <c r="P95" s="116"/>
      <c r="Q95" s="30"/>
      <c r="R95" s="192"/>
      <c r="S95" s="136"/>
      <c r="T95" s="136"/>
      <c r="U95" s="136"/>
      <c r="V95" s="138"/>
    </row>
  </sheetData>
  <sheetProtection formatCells="0" formatColumns="0" formatRows="0"/>
  <autoFilter ref="B13:V95" xr:uid="{00000000-0009-0000-0000-000007000000}">
    <filterColumn colId="1" showButton="0"/>
    <filterColumn colId="2" showButton="0"/>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autoFilter>
  <mergeCells count="31">
    <mergeCell ref="K13:K14"/>
    <mergeCell ref="B9:C9"/>
    <mergeCell ref="H13:H14"/>
    <mergeCell ref="F10:G10"/>
    <mergeCell ref="F9:G9"/>
    <mergeCell ref="B11:I11"/>
    <mergeCell ref="B13:B14"/>
    <mergeCell ref="C13:F13"/>
    <mergeCell ref="G13:G14"/>
    <mergeCell ref="I13:I14"/>
    <mergeCell ref="L68:L81"/>
    <mergeCell ref="L82:L95"/>
    <mergeCell ref="B8:C8"/>
    <mergeCell ref="D8:E8"/>
    <mergeCell ref="B4:L4"/>
    <mergeCell ref="B6:C6"/>
    <mergeCell ref="D6:E6"/>
    <mergeCell ref="B7:C7"/>
    <mergeCell ref="D7:E7"/>
    <mergeCell ref="F6:G6"/>
    <mergeCell ref="F7:G7"/>
    <mergeCell ref="F8:G8"/>
    <mergeCell ref="D9:E9"/>
    <mergeCell ref="B10:C10"/>
    <mergeCell ref="D10:E10"/>
    <mergeCell ref="L13:L14"/>
    <mergeCell ref="N13:V13"/>
    <mergeCell ref="M13:M14"/>
    <mergeCell ref="L15:L38"/>
    <mergeCell ref="L39:L55"/>
    <mergeCell ref="L56:L67"/>
  </mergeCells>
  <phoneticPr fontId="43" type="noConversion"/>
  <conditionalFormatting sqref="K15:K95">
    <cfRule type="containsText" priority="1" operator="containsText" text="100%">
      <formula>NOT(ISERROR(SEARCH("100%",K15)))</formula>
    </cfRule>
    <cfRule type="containsText" dxfId="27" priority="2" operator="containsText" text="50%">
      <formula>NOT(ISERROR(SEARCH("50%",K15)))</formula>
    </cfRule>
  </conditionalFormatting>
  <dataValidations count="1">
    <dataValidation allowBlank="1" showInputMessage="1" showErrorMessage="1" error="Por favor seleccione el id de requerimiento de la lista desplegable." sqref="C15:C95" xr:uid="{00000000-0002-0000-0700-000000000000}"/>
  </dataValidations>
  <pageMargins left="0.7" right="0.7" top="0.75" bottom="0.75" header="0.3" footer="0.3"/>
  <pageSetup orientation="portrait" r:id="rId1"/>
  <ignoredErrors>
    <ignoredError sqref="G16:H95 K16:K89 K90:K91 K92:K95 L82 L56 L39 L15 L12:L14 L16:L38 L40:L55 L57:L8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B1:V38"/>
  <sheetViews>
    <sheetView tabSelected="1" topLeftCell="A31" zoomScale="70" zoomScaleNormal="70" workbookViewId="0">
      <selection activeCell="I14" sqref="I14"/>
    </sheetView>
  </sheetViews>
  <sheetFormatPr baseColWidth="10" defaultColWidth="11.42578125" defaultRowHeight="12.75"/>
  <cols>
    <col min="1" max="1" width="3.140625" style="205" customWidth="1"/>
    <col min="2" max="2" width="3.42578125" style="205" customWidth="1"/>
    <col min="3" max="3" width="38.140625" style="205" customWidth="1"/>
    <col min="4" max="4" width="2.5703125" style="205" customWidth="1"/>
    <col min="5" max="5" width="29.7109375" style="205" customWidth="1"/>
    <col min="6" max="6" width="5.42578125" style="205" customWidth="1"/>
    <col min="7" max="7" width="23.42578125" style="205" customWidth="1"/>
    <col min="8" max="8" width="5.140625" style="205" customWidth="1"/>
    <col min="9" max="9" width="115" style="205" customWidth="1"/>
    <col min="10" max="10" width="5.85546875" style="205" customWidth="1"/>
    <col min="11" max="11" width="28.140625" style="205" customWidth="1"/>
    <col min="12" max="12" width="4.28515625" style="205" customWidth="1"/>
    <col min="13" max="13" width="111.42578125" style="205" customWidth="1"/>
    <col min="14" max="14" width="3" style="205" customWidth="1"/>
    <col min="15" max="15" width="24.85546875" style="205" hidden="1" customWidth="1"/>
    <col min="16" max="16" width="7" style="205" customWidth="1"/>
    <col min="17" max="16384" width="11.42578125" style="205"/>
  </cols>
  <sheetData>
    <row r="1" spans="2:16" ht="13.5" thickBot="1"/>
    <row r="2" spans="2:16" ht="18" customHeight="1" thickTop="1">
      <c r="B2" s="206"/>
      <c r="C2" s="207"/>
      <c r="D2" s="207"/>
      <c r="E2" s="207"/>
      <c r="F2" s="207"/>
      <c r="G2" s="207"/>
      <c r="H2" s="207"/>
      <c r="I2" s="207"/>
      <c r="J2" s="207"/>
      <c r="K2" s="207"/>
      <c r="L2" s="207"/>
      <c r="M2" s="207"/>
      <c r="N2" s="207"/>
      <c r="O2" s="207"/>
      <c r="P2" s="208"/>
    </row>
    <row r="3" spans="2:16" ht="31.5" customHeight="1">
      <c r="B3" s="209"/>
      <c r="E3" s="924" t="s">
        <v>569</v>
      </c>
      <c r="F3" s="922" t="s">
        <v>570</v>
      </c>
      <c r="G3" s="922"/>
      <c r="H3" s="922"/>
      <c r="I3" s="922"/>
      <c r="J3" s="922"/>
      <c r="K3" s="922"/>
      <c r="L3" s="922"/>
      <c r="M3" s="922"/>
      <c r="N3" s="210"/>
      <c r="O3" s="210"/>
      <c r="P3" s="211"/>
    </row>
    <row r="4" spans="2:16" ht="18" customHeight="1">
      <c r="B4" s="209"/>
      <c r="E4" s="925"/>
      <c r="F4" s="922"/>
      <c r="G4" s="922"/>
      <c r="H4" s="922"/>
      <c r="I4" s="922"/>
      <c r="J4" s="922"/>
      <c r="K4" s="922"/>
      <c r="L4" s="922"/>
      <c r="M4" s="922"/>
      <c r="N4" s="210"/>
      <c r="O4" s="210"/>
      <c r="P4" s="211"/>
    </row>
    <row r="5" spans="2:16" ht="41.25" customHeight="1">
      <c r="B5" s="209"/>
      <c r="E5" s="212" t="s">
        <v>571</v>
      </c>
      <c r="F5" s="923" t="s">
        <v>937</v>
      </c>
      <c r="G5" s="923"/>
      <c r="H5" s="923"/>
      <c r="I5" s="923"/>
      <c r="J5" s="923"/>
      <c r="K5" s="923"/>
      <c r="L5" s="923"/>
      <c r="M5" s="923"/>
      <c r="N5" s="213"/>
      <c r="O5" s="213"/>
      <c r="P5" s="211"/>
    </row>
    <row r="6" spans="2:16" ht="18" customHeight="1" thickBot="1">
      <c r="B6" s="209"/>
      <c r="E6" s="214"/>
      <c r="F6" s="213"/>
      <c r="G6" s="213"/>
      <c r="H6" s="213"/>
      <c r="I6" s="213"/>
      <c r="J6" s="213"/>
      <c r="K6" s="213"/>
      <c r="L6" s="213"/>
      <c r="P6" s="211"/>
    </row>
    <row r="7" spans="2:16" ht="93" customHeight="1" thickBot="1">
      <c r="B7" s="209"/>
      <c r="I7" s="926" t="s">
        <v>572</v>
      </c>
      <c r="J7" s="927"/>
      <c r="K7" s="928"/>
      <c r="M7" s="215">
        <f>+AVERAGE(G25,G27,G29,G31,G33)</f>
        <v>0.93771008403361333</v>
      </c>
      <c r="N7" s="216"/>
      <c r="O7" s="216"/>
      <c r="P7" s="211"/>
    </row>
    <row r="8" spans="2:16" ht="18" customHeight="1">
      <c r="B8" s="209"/>
      <c r="M8" s="217"/>
      <c r="N8" s="217"/>
      <c r="O8" s="217"/>
      <c r="P8" s="211"/>
    </row>
    <row r="9" spans="2:16" ht="18" customHeight="1">
      <c r="B9" s="209"/>
      <c r="P9" s="211"/>
    </row>
    <row r="10" spans="2:16">
      <c r="B10" s="209"/>
      <c r="P10" s="211"/>
    </row>
    <row r="11" spans="2:16">
      <c r="B11" s="209"/>
      <c r="P11" s="211"/>
    </row>
    <row r="12" spans="2:16">
      <c r="B12" s="209"/>
      <c r="P12" s="211"/>
    </row>
    <row r="13" spans="2:16">
      <c r="B13" s="209"/>
      <c r="P13" s="211"/>
    </row>
    <row r="14" spans="2:16">
      <c r="B14" s="209"/>
      <c r="P14" s="211"/>
    </row>
    <row r="15" spans="2:16">
      <c r="B15" s="209"/>
      <c r="P15" s="211"/>
    </row>
    <row r="16" spans="2:16" ht="13.5" thickBot="1">
      <c r="B16" s="209"/>
      <c r="P16" s="211"/>
    </row>
    <row r="17" spans="2:22" ht="39" customHeight="1" thickBot="1">
      <c r="B17" s="209"/>
      <c r="C17" s="911" t="s">
        <v>573</v>
      </c>
      <c r="D17" s="912"/>
      <c r="E17" s="912"/>
      <c r="F17" s="912"/>
      <c r="G17" s="912"/>
      <c r="H17" s="912"/>
      <c r="I17" s="912"/>
      <c r="J17" s="912"/>
      <c r="K17" s="912"/>
      <c r="L17" s="912"/>
      <c r="M17" s="913"/>
      <c r="N17" s="218"/>
      <c r="O17" s="218"/>
      <c r="P17" s="211"/>
    </row>
    <row r="18" spans="2:22" ht="15.75" customHeight="1">
      <c r="B18" s="209"/>
      <c r="C18" s="219"/>
      <c r="D18" s="219"/>
      <c r="E18" s="219"/>
      <c r="F18" s="219"/>
      <c r="G18" s="219"/>
      <c r="H18" s="219"/>
      <c r="I18" s="219"/>
      <c r="J18" s="219"/>
      <c r="K18" s="219"/>
      <c r="L18" s="219"/>
      <c r="M18" s="219"/>
      <c r="N18" s="219"/>
      <c r="O18" s="219"/>
      <c r="P18" s="211"/>
    </row>
    <row r="19" spans="2:22" ht="156.75" customHeight="1">
      <c r="B19" s="209"/>
      <c r="C19" s="914" t="s">
        <v>574</v>
      </c>
      <c r="D19" s="915"/>
      <c r="E19" s="326" t="s">
        <v>575</v>
      </c>
      <c r="F19" s="916" t="s">
        <v>883</v>
      </c>
      <c r="G19" s="917"/>
      <c r="H19" s="917"/>
      <c r="I19" s="917"/>
      <c r="J19" s="917"/>
      <c r="K19" s="917"/>
      <c r="L19" s="917"/>
      <c r="M19" s="918"/>
      <c r="N19" s="220"/>
      <c r="O19" s="220"/>
      <c r="P19" s="211"/>
    </row>
    <row r="20" spans="2:22" ht="120.75" customHeight="1">
      <c r="B20" s="209"/>
      <c r="C20" s="914" t="s">
        <v>576</v>
      </c>
      <c r="D20" s="915"/>
      <c r="E20" s="326" t="s">
        <v>577</v>
      </c>
      <c r="F20" s="919" t="s">
        <v>945</v>
      </c>
      <c r="G20" s="920"/>
      <c r="H20" s="920"/>
      <c r="I20" s="920"/>
      <c r="J20" s="920"/>
      <c r="K20" s="920"/>
      <c r="L20" s="920"/>
      <c r="M20" s="921"/>
      <c r="N20" s="220"/>
      <c r="O20" s="220"/>
      <c r="P20" s="211"/>
    </row>
    <row r="21" spans="2:22" ht="186.75" customHeight="1">
      <c r="B21" s="209"/>
      <c r="C21" s="909" t="s">
        <v>578</v>
      </c>
      <c r="D21" s="910"/>
      <c r="E21" s="326" t="s">
        <v>577</v>
      </c>
      <c r="F21" s="919" t="s">
        <v>884</v>
      </c>
      <c r="G21" s="920"/>
      <c r="H21" s="920"/>
      <c r="I21" s="920"/>
      <c r="J21" s="920"/>
      <c r="K21" s="920"/>
      <c r="L21" s="920"/>
      <c r="M21" s="921"/>
      <c r="N21" s="220"/>
      <c r="O21" s="220"/>
      <c r="P21" s="211"/>
    </row>
    <row r="22" spans="2:22" ht="13.5" thickBot="1">
      <c r="B22" s="209"/>
      <c r="G22" s="221"/>
      <c r="P22" s="211"/>
    </row>
    <row r="23" spans="2:22" ht="102.75" customHeight="1" thickBot="1">
      <c r="B23" s="209"/>
      <c r="C23" s="222" t="s">
        <v>50</v>
      </c>
      <c r="D23" s="223"/>
      <c r="E23" s="222" t="s">
        <v>579</v>
      </c>
      <c r="F23" s="223"/>
      <c r="G23" s="224" t="s">
        <v>580</v>
      </c>
      <c r="H23" s="223"/>
      <c r="I23" s="225" t="s">
        <v>581</v>
      </c>
      <c r="J23" s="226"/>
      <c r="K23" s="227" t="s">
        <v>582</v>
      </c>
      <c r="L23" s="226"/>
      <c r="M23" s="228" t="s">
        <v>583</v>
      </c>
      <c r="N23" s="226"/>
      <c r="O23" s="229" t="s">
        <v>584</v>
      </c>
      <c r="P23" s="211"/>
      <c r="Q23" s="230"/>
    </row>
    <row r="24" spans="2:22" ht="6.75" customHeight="1">
      <c r="B24" s="209"/>
      <c r="C24" s="231"/>
      <c r="D24" s="232"/>
      <c r="E24" s="232"/>
      <c r="F24" s="232"/>
      <c r="G24" s="232"/>
      <c r="H24" s="232"/>
      <c r="I24" s="233"/>
      <c r="J24" s="232"/>
      <c r="K24" s="233"/>
      <c r="L24" s="232"/>
      <c r="M24" s="232"/>
      <c r="N24" s="232"/>
      <c r="O24" s="232"/>
      <c r="P24" s="211"/>
    </row>
    <row r="25" spans="2:22" ht="297">
      <c r="B25" s="209"/>
      <c r="C25" s="234" t="s">
        <v>44</v>
      </c>
      <c r="D25" s="235"/>
      <c r="E25" s="236" t="str">
        <f>+IF(Hoja1!$N$2&gt;=0.5,"Si","No")</f>
        <v>Si</v>
      </c>
      <c r="F25" s="237"/>
      <c r="G25" s="238">
        <f>+Hoja1!N2</f>
        <v>0.9375</v>
      </c>
      <c r="H25" s="237"/>
      <c r="I25" s="329" t="s">
        <v>929</v>
      </c>
      <c r="J25" s="239"/>
      <c r="K25" s="240">
        <v>0.96</v>
      </c>
      <c r="L25" s="241"/>
      <c r="M25" s="329" t="s">
        <v>940</v>
      </c>
      <c r="N25" s="242"/>
      <c r="O25" s="243">
        <f>G25-K25</f>
        <v>-2.2499999999999964E-2</v>
      </c>
      <c r="P25" s="244"/>
      <c r="Q25" s="245"/>
      <c r="R25" s="245"/>
      <c r="S25" s="245"/>
      <c r="T25" s="245"/>
      <c r="U25" s="245"/>
      <c r="V25" s="245"/>
    </row>
    <row r="26" spans="2:22" ht="6.75" customHeight="1">
      <c r="B26" s="209"/>
      <c r="C26" s="231"/>
      <c r="D26" s="232"/>
      <c r="E26" s="246"/>
      <c r="F26" s="232"/>
      <c r="G26" s="247"/>
      <c r="H26" s="232"/>
      <c r="I26" s="327"/>
      <c r="J26" s="232"/>
      <c r="K26" s="233"/>
      <c r="L26" s="232"/>
      <c r="M26" s="248"/>
      <c r="N26" s="248"/>
      <c r="O26" s="249"/>
      <c r="P26" s="211"/>
    </row>
    <row r="27" spans="2:22" ht="392.25" customHeight="1">
      <c r="B27" s="209"/>
      <c r="C27" s="250" t="s">
        <v>585</v>
      </c>
      <c r="D27" s="235"/>
      <c r="E27" s="236" t="str">
        <f>+IF(Hoja1!$N$26&gt;=0.5,"Si","No")</f>
        <v>Si</v>
      </c>
      <c r="F27" s="232"/>
      <c r="G27" s="238">
        <f>+Hoja1!N26</f>
        <v>0.91176470588235292</v>
      </c>
      <c r="H27" s="232"/>
      <c r="I27" s="330" t="s">
        <v>930</v>
      </c>
      <c r="J27" s="232"/>
      <c r="K27" s="240">
        <v>0.97</v>
      </c>
      <c r="L27" s="251"/>
      <c r="M27" s="329" t="s">
        <v>941</v>
      </c>
      <c r="N27" s="242"/>
      <c r="O27" s="243">
        <f>G27-K27</f>
        <v>-5.8235294117647052E-2</v>
      </c>
      <c r="P27" s="211"/>
    </row>
    <row r="28" spans="2:22" ht="6.75" customHeight="1">
      <c r="B28" s="209"/>
      <c r="C28" s="231"/>
      <c r="D28" s="232"/>
      <c r="E28" s="246"/>
      <c r="F28" s="232"/>
      <c r="G28" s="247"/>
      <c r="H28" s="232"/>
      <c r="I28" s="327"/>
      <c r="J28" s="232"/>
      <c r="K28" s="233"/>
      <c r="L28" s="232"/>
      <c r="M28" s="248"/>
      <c r="N28" s="248"/>
      <c r="O28" s="249"/>
      <c r="P28" s="211"/>
    </row>
    <row r="29" spans="2:22" ht="409.5" customHeight="1">
      <c r="B29" s="209"/>
      <c r="C29" s="252" t="s">
        <v>586</v>
      </c>
      <c r="D29" s="235"/>
      <c r="E29" s="236" t="str">
        <f>+IF(Hoja1!$N$43&gt;=0.5,"Si","No")</f>
        <v>Si</v>
      </c>
      <c r="F29" s="232"/>
      <c r="G29" s="238">
        <f>+Hoja1!N43</f>
        <v>0.875</v>
      </c>
      <c r="H29" s="232"/>
      <c r="I29" s="329" t="s">
        <v>931</v>
      </c>
      <c r="J29" s="232"/>
      <c r="K29" s="240">
        <v>0.88</v>
      </c>
      <c r="L29" s="251"/>
      <c r="M29" s="329" t="s">
        <v>942</v>
      </c>
      <c r="N29" s="242"/>
      <c r="O29" s="243">
        <f>G29-K29</f>
        <v>-5.0000000000000044E-3</v>
      </c>
      <c r="P29" s="211"/>
    </row>
    <row r="30" spans="2:22" ht="6.75" customHeight="1">
      <c r="B30" s="209"/>
      <c r="C30" s="231"/>
      <c r="D30" s="232"/>
      <c r="E30" s="246"/>
      <c r="F30" s="232"/>
      <c r="G30" s="247"/>
      <c r="H30" s="232"/>
      <c r="I30" s="327"/>
      <c r="J30" s="232"/>
      <c r="K30" s="233"/>
      <c r="L30" s="232"/>
      <c r="M30" s="248"/>
      <c r="N30" s="248"/>
      <c r="O30" s="249"/>
      <c r="P30" s="211"/>
    </row>
    <row r="31" spans="2:22" ht="409.6" customHeight="1">
      <c r="B31" s="209"/>
      <c r="C31" s="253" t="s">
        <v>587</v>
      </c>
      <c r="D31" s="235"/>
      <c r="E31" s="236" t="str">
        <f>+IF(Hoja1!$N$55&gt;=0.5,"Si","No")</f>
        <v>Si</v>
      </c>
      <c r="F31" s="232"/>
      <c r="G31" s="238">
        <f>+Hoja1!N55</f>
        <v>0.9642857142857143</v>
      </c>
      <c r="H31" s="232"/>
      <c r="I31" s="331" t="s">
        <v>939</v>
      </c>
      <c r="J31" s="232"/>
      <c r="K31" s="240">
        <v>0.93</v>
      </c>
      <c r="L31" s="251"/>
      <c r="M31" s="329" t="s">
        <v>944</v>
      </c>
      <c r="N31" s="242"/>
      <c r="O31" s="243">
        <f>G31-K31</f>
        <v>3.4285714285714253E-2</v>
      </c>
      <c r="P31" s="211"/>
    </row>
    <row r="32" spans="2:22" ht="6.75" customHeight="1">
      <c r="B32" s="209"/>
      <c r="C32" s="231"/>
      <c r="D32" s="232"/>
      <c r="E32" s="246"/>
      <c r="F32" s="232"/>
      <c r="G32" s="247"/>
      <c r="H32" s="232"/>
      <c r="I32" s="328"/>
      <c r="J32" s="232"/>
      <c r="K32" s="233"/>
      <c r="L32" s="232"/>
      <c r="M32" s="248"/>
      <c r="N32" s="248"/>
      <c r="O32" s="249"/>
      <c r="P32" s="211"/>
    </row>
    <row r="33" spans="2:16" ht="409.5" customHeight="1">
      <c r="B33" s="209"/>
      <c r="C33" s="254" t="s">
        <v>588</v>
      </c>
      <c r="D33" s="235"/>
      <c r="E33" s="236" t="str">
        <f>+IF(Hoja1!$N$69&gt;=0.5,"Si","No")</f>
        <v>Si</v>
      </c>
      <c r="F33" s="232"/>
      <c r="G33" s="238">
        <f>+Hoja1!N69</f>
        <v>1</v>
      </c>
      <c r="H33" s="232"/>
      <c r="I33" s="329" t="s">
        <v>938</v>
      </c>
      <c r="J33" s="232"/>
      <c r="K33" s="240">
        <v>1</v>
      </c>
      <c r="L33" s="251"/>
      <c r="M33" s="329" t="s">
        <v>943</v>
      </c>
      <c r="N33" s="242"/>
      <c r="O33" s="243">
        <f>G33-K33</f>
        <v>0</v>
      </c>
      <c r="P33" s="211"/>
    </row>
    <row r="34" spans="2:16" ht="15.75">
      <c r="B34" s="209"/>
      <c r="C34" s="255"/>
      <c r="D34" s="255"/>
      <c r="E34" s="219"/>
      <c r="M34" s="256"/>
      <c r="N34" s="256"/>
      <c r="O34" s="256"/>
      <c r="P34" s="211"/>
    </row>
    <row r="35" spans="2:16" ht="15.75">
      <c r="B35" s="209"/>
      <c r="C35" s="257"/>
      <c r="D35" s="255"/>
      <c r="E35" s="219"/>
      <c r="M35" s="256"/>
      <c r="N35" s="256"/>
      <c r="O35" s="256"/>
      <c r="P35" s="211"/>
    </row>
    <row r="36" spans="2:16">
      <c r="B36" s="209"/>
      <c r="C36" s="258"/>
      <c r="P36" s="211"/>
    </row>
    <row r="37" spans="2:16" ht="13.5" thickBot="1">
      <c r="B37" s="259"/>
      <c r="C37" s="260"/>
      <c r="D37" s="260"/>
      <c r="E37" s="260"/>
      <c r="F37" s="260"/>
      <c r="G37" s="260"/>
      <c r="H37" s="260"/>
      <c r="I37" s="260"/>
      <c r="J37" s="260"/>
      <c r="K37" s="260"/>
      <c r="L37" s="260"/>
      <c r="M37" s="260"/>
      <c r="N37" s="260"/>
      <c r="O37" s="260"/>
      <c r="P37" s="261"/>
    </row>
    <row r="38" spans="2:16" ht="13.5" thickTop="1"/>
  </sheetData>
  <sheetProtection password="D72A" sheet="1" objects="1" scenarios="1" formatCells="0" formatColumns="0" formatRows="0"/>
  <mergeCells count="11">
    <mergeCell ref="F3:M4"/>
    <mergeCell ref="F5:M5"/>
    <mergeCell ref="E3:E4"/>
    <mergeCell ref="C20:D20"/>
    <mergeCell ref="I7:K7"/>
    <mergeCell ref="C21:D21"/>
    <mergeCell ref="C17:M17"/>
    <mergeCell ref="C19:D19"/>
    <mergeCell ref="F19:M19"/>
    <mergeCell ref="F20:M20"/>
    <mergeCell ref="F21:M21"/>
  </mergeCells>
  <conditionalFormatting sqref="G25 G27 G29 G31 G33">
    <cfRule type="cellIs" dxfId="26" priority="107" operator="between">
      <formula>0.76</formula>
      <formula>1</formula>
    </cfRule>
    <cfRule type="cellIs" dxfId="25" priority="108" operator="between">
      <formula>0.51</formula>
      <formula>0.75</formula>
    </cfRule>
    <cfRule type="cellIs" dxfId="24" priority="109" operator="between">
      <formula>0.26</formula>
      <formula>0.5</formula>
    </cfRule>
  </conditionalFormatting>
  <conditionalFormatting sqref="K25">
    <cfRule type="cellIs" dxfId="22" priority="13" operator="between">
      <formula>0.76</formula>
      <formula>1</formula>
    </cfRule>
    <cfRule type="cellIs" dxfId="21" priority="14" operator="between">
      <formula>0.51</formula>
      <formula>0.75</formula>
    </cfRule>
    <cfRule type="cellIs" dxfId="20" priority="15" operator="between">
      <formula>0.26</formula>
      <formula>0.5</formula>
    </cfRule>
  </conditionalFormatting>
  <conditionalFormatting sqref="K27">
    <cfRule type="cellIs" dxfId="18" priority="9" operator="between">
      <formula>0.76</formula>
      <formula>1</formula>
    </cfRule>
    <cfRule type="cellIs" dxfId="17" priority="10" operator="between">
      <formula>0.51</formula>
      <formula>0.75</formula>
    </cfRule>
    <cfRule type="cellIs" dxfId="16" priority="11" operator="between">
      <formula>0.26</formula>
      <formula>0.5</formula>
    </cfRule>
  </conditionalFormatting>
  <conditionalFormatting sqref="K29">
    <cfRule type="cellIs" dxfId="14" priority="5" operator="between">
      <formula>0.76</formula>
      <formula>1</formula>
    </cfRule>
    <cfRule type="cellIs" dxfId="13" priority="6" operator="between">
      <formula>0.51</formula>
      <formula>0.75</formula>
    </cfRule>
    <cfRule type="cellIs" dxfId="12" priority="7" operator="between">
      <formula>0.26</formula>
      <formula>0.5</formula>
    </cfRule>
  </conditionalFormatting>
  <conditionalFormatting sqref="K31">
    <cfRule type="cellIs" dxfId="10" priority="21" operator="between">
      <formula>0.76</formula>
      <formula>1</formula>
    </cfRule>
    <cfRule type="cellIs" dxfId="9" priority="22" operator="between">
      <formula>0.51</formula>
      <formula>0.75</formula>
    </cfRule>
    <cfRule type="cellIs" dxfId="8" priority="23" operator="between">
      <formula>0.26</formula>
      <formula>0.5</formula>
    </cfRule>
  </conditionalFormatting>
  <conditionalFormatting sqref="K33">
    <cfRule type="cellIs" dxfId="6" priority="1" operator="between">
      <formula>0.76</formula>
      <formula>1</formula>
    </cfRule>
    <cfRule type="cellIs" dxfId="5" priority="2" operator="between">
      <formula>0.51</formula>
      <formula>0.75</formula>
    </cfRule>
    <cfRule type="cellIs" dxfId="4" priority="3" operator="between">
      <formula>0.26</formula>
      <formula>0.5</formula>
    </cfRule>
  </conditionalFormatting>
  <conditionalFormatting sqref="M7">
    <cfRule type="cellIs" priority="103" operator="between">
      <formula>0.76</formula>
      <formula>1</formula>
    </cfRule>
    <cfRule type="cellIs" dxfId="2" priority="104" operator="between">
      <formula>0.51</formula>
      <formula>0.75</formula>
    </cfRule>
    <cfRule type="cellIs" dxfId="1" priority="105" operator="between">
      <formula>0.26</formula>
      <formula>0.5</formula>
    </cfRule>
    <cfRule type="cellIs" dxfId="0" priority="106" operator="between">
      <formula>0</formula>
      <formula>0.25</formula>
    </cfRule>
  </conditionalFormatting>
  <dataValidations count="4">
    <dataValidation allowBlank="1" showInputMessage="1" showErrorMessage="1" prompt="Celda formulada, información proveniente de la pestaña de deficiencias." sqref="E23" xr:uid="{00000000-0002-0000-0800-000000000000}"/>
    <dataValidation type="list" allowBlank="1" showInputMessage="1" showErrorMessage="1" sqref="N19:O19" xr:uid="{00000000-0002-0000-0800-000001000000}">
      <formula1>"Si,No"</formula1>
    </dataValidation>
    <dataValidation type="list" allowBlank="1" showInputMessage="1" showErrorMessage="1" sqref="N20:O20 E20:E21" xr:uid="{00000000-0002-0000-0800-000002000000}">
      <formula1>"Si, No"</formula1>
    </dataValidation>
    <dataValidation type="list" allowBlank="1" showInputMessage="1" showErrorMessage="1" sqref="E19" xr:uid="{00000000-0002-0000-0800-000003000000}">
      <formula1>"Si,No,En proceso"</formula1>
    </dataValidation>
  </dataValidations>
  <pageMargins left="0.7" right="0.7" top="0.75" bottom="0.7" header="0.3" footer="0.3"/>
  <pageSetup scale="33" fitToHeight="0"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cellIs" priority="110" operator="between" id="{AC1FC42B-E47F-4E28-8390-539A6FAE60AB}">
            <xm:f>0</xm:f>
            <xm:f>'Analisis de Resultados'!$I$10</xm:f>
            <x14:dxf>
              <fill>
                <patternFill>
                  <bgColor rgb="FFFF0000"/>
                </patternFill>
              </fill>
            </x14:dxf>
          </x14:cfRule>
          <xm:sqref>G25 G27 G29 G31 G33</xm:sqref>
        </x14:conditionalFormatting>
        <x14:conditionalFormatting xmlns:xm="http://schemas.microsoft.com/office/excel/2006/main">
          <x14:cfRule type="cellIs" priority="16" operator="between" id="{B4ED5309-0477-4A1F-8FA7-CED9F915E285}">
            <xm:f>0</xm:f>
            <xm:f>'Analisis de Resultados'!$I$10</xm:f>
            <x14:dxf>
              <fill>
                <patternFill>
                  <bgColor rgb="FFFF0000"/>
                </patternFill>
              </fill>
            </x14:dxf>
          </x14:cfRule>
          <xm:sqref>K25</xm:sqref>
        </x14:conditionalFormatting>
        <x14:conditionalFormatting xmlns:xm="http://schemas.microsoft.com/office/excel/2006/main">
          <x14:cfRule type="cellIs" priority="12" operator="between" id="{01151194-546C-4302-A484-E2D081C51D8C}">
            <xm:f>0</xm:f>
            <xm:f>'Analisis de Resultados'!$I$10</xm:f>
            <x14:dxf>
              <fill>
                <patternFill>
                  <bgColor rgb="FFFF0000"/>
                </patternFill>
              </fill>
            </x14:dxf>
          </x14:cfRule>
          <xm:sqref>K27</xm:sqref>
        </x14:conditionalFormatting>
        <x14:conditionalFormatting xmlns:xm="http://schemas.microsoft.com/office/excel/2006/main">
          <x14:cfRule type="cellIs" priority="8" operator="between" id="{10EF5788-3C93-4CCA-9224-CE0A2D78E9C4}">
            <xm:f>0</xm:f>
            <xm:f>'Analisis de Resultados'!$I$10</xm:f>
            <x14:dxf>
              <fill>
                <patternFill>
                  <bgColor rgb="FFFF0000"/>
                </patternFill>
              </fill>
            </x14:dxf>
          </x14:cfRule>
          <xm:sqref>K29</xm:sqref>
        </x14:conditionalFormatting>
        <x14:conditionalFormatting xmlns:xm="http://schemas.microsoft.com/office/excel/2006/main">
          <x14:cfRule type="cellIs" priority="24" operator="between" id="{29D78DC4-C773-4DC8-AFDF-B0F0DFD0FBF0}">
            <xm:f>0</xm:f>
            <xm:f>'https://mailuis-my.sharepoint.com/Users/usuario/OneDrive - Universidad Industrial de Santander/Escritorio/[Inf. Consolidado I Sem 2022.xlsx]Analisis de Resultados'!#REF!</xm:f>
            <x14:dxf>
              <fill>
                <patternFill>
                  <bgColor rgb="FFFF0000"/>
                </patternFill>
              </fill>
            </x14:dxf>
          </x14:cfRule>
          <xm:sqref>K31</xm:sqref>
        </x14:conditionalFormatting>
        <x14:conditionalFormatting xmlns:xm="http://schemas.microsoft.com/office/excel/2006/main">
          <x14:cfRule type="cellIs" priority="4" operator="between" id="{9A96CFBA-7153-4B07-B2AD-F1A119307A0B}">
            <xm:f>0</xm:f>
            <xm:f>'Analisis de Resultados'!$I$10</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Instructivo</vt:lpstr>
      <vt:lpstr>Definiciones</vt:lpstr>
      <vt:lpstr>Ambiente de Control</vt:lpstr>
      <vt:lpstr>Evaluación de riesgos</vt:lpstr>
      <vt:lpstr>Actividades de control</vt:lpstr>
      <vt:lpstr>Info y Comunicación</vt:lpstr>
      <vt:lpstr>Actividades de Monitoreo</vt:lpstr>
      <vt:lpstr>Analisis de Resultados</vt:lpstr>
      <vt:lpstr>Conclusiones</vt:lpstr>
      <vt:lpstr>Hoja1</vt:lpstr>
      <vt:lpstr>Conclusiones!Área_de_impresión</vt:lpstr>
    </vt:vector>
  </TitlesOfParts>
  <Manager/>
  <Company>Ernst &amp; Young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Gomez</dc:creator>
  <cp:keywords/>
  <dc:description/>
  <cp:lastModifiedBy>CONTROL INTERNO Y EVAL DE GESTION - DIRECTOR</cp:lastModifiedBy>
  <cp:revision/>
  <cp:lastPrinted>2025-07-01T20:06:11Z</cp:lastPrinted>
  <dcterms:created xsi:type="dcterms:W3CDTF">2010-10-04T16:34:45Z</dcterms:created>
  <dcterms:modified xsi:type="dcterms:W3CDTF">2025-07-01T21:09:59Z</dcterms:modified>
  <cp:category/>
  <cp:contentStatus/>
</cp:coreProperties>
</file>